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PROCOMPETENCIA Oleaga\ESTADOS FINANCIEROS 2016 - 2026\Estados 2026\Abril\"/>
    </mc:Choice>
  </mc:AlternateContent>
  <xr:revisionPtr revIDLastSave="0" documentId="14_{D000ED11-B48B-40D1-868D-4BFCAA6E308B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P1 Presupuesto Aprobado" sheetId="1" r:id="rId1"/>
    <sheet name="P2 Presupuesto Aprobado-Ejec " sheetId="2" state="hidden" r:id="rId2"/>
    <sheet name="P3 Ejecucion " sheetId="3" state="hidden" r:id="rId3"/>
  </sheets>
  <definedNames>
    <definedName name="_xlnm.Print_Area" localSheetId="0">'P1 Presupuesto Aprobado'!$C$1:$F$95</definedName>
    <definedName name="_xlnm.Print_Area" localSheetId="1">'P2 Presupuesto Aprobado-Ejec '!$A$1:$R$85</definedName>
    <definedName name="_xlnm.Print_Area" localSheetId="2">'P3 Ejecucion '!$A$1:$P$84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" i="2" l="1"/>
  <c r="M12" i="2" l="1"/>
  <c r="F83" i="1"/>
  <c r="F80" i="1"/>
  <c r="F77" i="1"/>
  <c r="F76" i="1" s="1"/>
  <c r="F75" i="1"/>
  <c r="F74" i="1"/>
  <c r="F73" i="1"/>
  <c r="F71" i="1"/>
  <c r="F70" i="1"/>
  <c r="F69" i="1" s="1"/>
  <c r="F68" i="1"/>
  <c r="F67" i="1"/>
  <c r="F66" i="1"/>
  <c r="F65" i="1"/>
  <c r="F64" i="1" s="1"/>
  <c r="F54" i="1"/>
  <c r="F53" i="1"/>
  <c r="F52" i="1"/>
  <c r="F51" i="1"/>
  <c r="F50" i="1"/>
  <c r="F49" i="1"/>
  <c r="F48" i="1"/>
  <c r="F47" i="1"/>
  <c r="F28" i="1"/>
  <c r="F18" i="1"/>
  <c r="F12" i="1"/>
  <c r="F46" i="1" l="1"/>
  <c r="F38" i="1" s="1"/>
  <c r="F72" i="1"/>
  <c r="F11" i="1" l="1"/>
  <c r="F85" i="1" s="1"/>
  <c r="P83" i="3"/>
  <c r="P81" i="3"/>
  <c r="P80" i="3"/>
  <c r="P78" i="3"/>
  <c r="P77" i="3"/>
  <c r="P74" i="3"/>
  <c r="P73" i="3"/>
  <c r="P72" i="3"/>
  <c r="P71" i="3"/>
  <c r="P70" i="3"/>
  <c r="P69" i="3"/>
  <c r="P68" i="3"/>
  <c r="P67" i="3"/>
  <c r="P66" i="3"/>
  <c r="P65" i="3"/>
  <c r="P64" i="3"/>
  <c r="P62" i="3"/>
  <c r="P61" i="3"/>
  <c r="P60" i="3"/>
  <c r="P59" i="3"/>
  <c r="P58" i="3"/>
  <c r="P57" i="3"/>
  <c r="P56" i="3"/>
  <c r="P55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5" i="3"/>
  <c r="P33" i="3"/>
  <c r="P32" i="3"/>
  <c r="P31" i="3"/>
  <c r="P29" i="3"/>
  <c r="P26" i="3"/>
  <c r="P22" i="3"/>
  <c r="P21" i="3"/>
  <c r="P20" i="3"/>
  <c r="P15" i="3"/>
  <c r="P14" i="3"/>
  <c r="O82" i="3"/>
  <c r="N82" i="3"/>
  <c r="M82" i="3"/>
  <c r="L82" i="3"/>
  <c r="K82" i="3"/>
  <c r="J82" i="3"/>
  <c r="I82" i="3"/>
  <c r="H82" i="3"/>
  <c r="G82" i="3"/>
  <c r="F82" i="3"/>
  <c r="E82" i="3"/>
  <c r="D82" i="3"/>
  <c r="O79" i="3"/>
  <c r="N79" i="3"/>
  <c r="N75" i="3" s="1"/>
  <c r="M79" i="3"/>
  <c r="M75" i="3" s="1"/>
  <c r="L79" i="3"/>
  <c r="K79" i="3"/>
  <c r="J79" i="3"/>
  <c r="I79" i="3"/>
  <c r="H79" i="3"/>
  <c r="G79" i="3"/>
  <c r="G75" i="3" s="1"/>
  <c r="F79" i="3"/>
  <c r="F75" i="3" s="1"/>
  <c r="E79" i="3"/>
  <c r="E75" i="3" s="1"/>
  <c r="D79" i="3"/>
  <c r="O76" i="3"/>
  <c r="N76" i="3"/>
  <c r="M76" i="3"/>
  <c r="L76" i="3"/>
  <c r="L75" i="3" s="1"/>
  <c r="K76" i="3"/>
  <c r="K75" i="3" s="1"/>
  <c r="J76" i="3"/>
  <c r="J75" i="3" s="1"/>
  <c r="I76" i="3"/>
  <c r="I75" i="3" s="1"/>
  <c r="H76" i="3"/>
  <c r="G76" i="3"/>
  <c r="F76" i="3"/>
  <c r="E76" i="3"/>
  <c r="D76" i="3"/>
  <c r="D75" i="3"/>
  <c r="O63" i="3"/>
  <c r="O10" i="3" s="1"/>
  <c r="N63" i="3"/>
  <c r="M63" i="3"/>
  <c r="L63" i="3"/>
  <c r="L10" i="3" s="1"/>
  <c r="K63" i="3"/>
  <c r="K10" i="3" s="1"/>
  <c r="J63" i="3"/>
  <c r="I63" i="3"/>
  <c r="H63" i="3"/>
  <c r="G63" i="3"/>
  <c r="F63" i="3"/>
  <c r="E63" i="3"/>
  <c r="D63" i="3"/>
  <c r="G54" i="3"/>
  <c r="G53" i="3" s="1"/>
  <c r="J53" i="3"/>
  <c r="I53" i="3"/>
  <c r="H53" i="3"/>
  <c r="F53" i="3"/>
  <c r="E53" i="3"/>
  <c r="D53" i="3"/>
  <c r="J38" i="3"/>
  <c r="J37" i="3" s="1"/>
  <c r="I38" i="3"/>
  <c r="I37" i="3" s="1"/>
  <c r="E38" i="3"/>
  <c r="E37" i="3" s="1"/>
  <c r="H37" i="3"/>
  <c r="G37" i="3"/>
  <c r="F37" i="3"/>
  <c r="D37" i="3"/>
  <c r="J36" i="3"/>
  <c r="J27" i="3" s="1"/>
  <c r="I36" i="3"/>
  <c r="F36" i="3"/>
  <c r="P36" i="3" s="1"/>
  <c r="I34" i="3"/>
  <c r="G34" i="3"/>
  <c r="F34" i="3"/>
  <c r="P34" i="3" s="1"/>
  <c r="I30" i="3"/>
  <c r="G30" i="3"/>
  <c r="F30" i="3"/>
  <c r="H28" i="3"/>
  <c r="H27" i="3" s="1"/>
  <c r="F28" i="3"/>
  <c r="E28" i="3"/>
  <c r="E27" i="3"/>
  <c r="D27" i="3"/>
  <c r="J25" i="3"/>
  <c r="I25" i="3"/>
  <c r="H25" i="3"/>
  <c r="G25" i="3"/>
  <c r="F25" i="3"/>
  <c r="E25" i="3"/>
  <c r="I24" i="3"/>
  <c r="G24" i="3"/>
  <c r="E24" i="3"/>
  <c r="J23" i="3"/>
  <c r="G23" i="3"/>
  <c r="H19" i="3"/>
  <c r="G19" i="3"/>
  <c r="F19" i="3"/>
  <c r="J18" i="3"/>
  <c r="I18" i="3"/>
  <c r="H18" i="3"/>
  <c r="G18" i="3"/>
  <c r="F18" i="3"/>
  <c r="E18" i="3"/>
  <c r="D18" i="3"/>
  <c r="D17" i="3" s="1"/>
  <c r="J16" i="3"/>
  <c r="I16" i="3"/>
  <c r="H16" i="3"/>
  <c r="G16" i="3"/>
  <c r="F16" i="3"/>
  <c r="E16" i="3"/>
  <c r="D16" i="3"/>
  <c r="H13" i="3"/>
  <c r="G13" i="3"/>
  <c r="J12" i="3"/>
  <c r="J11" i="3" s="1"/>
  <c r="I12" i="3"/>
  <c r="I11" i="3" s="1"/>
  <c r="H12" i="3"/>
  <c r="G12" i="3"/>
  <c r="F12" i="3"/>
  <c r="F11" i="3" s="1"/>
  <c r="E12" i="3"/>
  <c r="D12" i="3"/>
  <c r="D11" i="3" s="1"/>
  <c r="N10" i="3"/>
  <c r="M10" i="3"/>
  <c r="Q64" i="2"/>
  <c r="Q11" i="2" s="1"/>
  <c r="P64" i="2"/>
  <c r="P11" i="2" s="1"/>
  <c r="O64" i="2"/>
  <c r="N64" i="2"/>
  <c r="M64" i="2"/>
  <c r="M11" i="2" s="1"/>
  <c r="R84" i="2"/>
  <c r="R82" i="2"/>
  <c r="R81" i="2"/>
  <c r="R79" i="2"/>
  <c r="R78" i="2"/>
  <c r="R75" i="2"/>
  <c r="R74" i="2"/>
  <c r="R73" i="2"/>
  <c r="R72" i="2"/>
  <c r="R71" i="2"/>
  <c r="R70" i="2"/>
  <c r="R69" i="2"/>
  <c r="R68" i="2"/>
  <c r="R67" i="2"/>
  <c r="R66" i="2"/>
  <c r="R65" i="2"/>
  <c r="R63" i="2"/>
  <c r="R62" i="2"/>
  <c r="R61" i="2"/>
  <c r="R60" i="2"/>
  <c r="R59" i="2"/>
  <c r="R58" i="2"/>
  <c r="R57" i="2"/>
  <c r="R56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6" i="2"/>
  <c r="R34" i="2"/>
  <c r="R33" i="2"/>
  <c r="R32" i="2"/>
  <c r="R30" i="2"/>
  <c r="R27" i="2"/>
  <c r="R23" i="2"/>
  <c r="R22" i="2"/>
  <c r="R21" i="2"/>
  <c r="R16" i="2"/>
  <c r="R15" i="2"/>
  <c r="O11" i="2"/>
  <c r="N11" i="2"/>
  <c r="Q83" i="2"/>
  <c r="P83" i="2"/>
  <c r="O83" i="2"/>
  <c r="N83" i="2"/>
  <c r="M83" i="2"/>
  <c r="L83" i="2"/>
  <c r="L76" i="2" s="1"/>
  <c r="K83" i="2"/>
  <c r="J83" i="2"/>
  <c r="I83" i="2"/>
  <c r="H83" i="2"/>
  <c r="G83" i="2"/>
  <c r="Q80" i="2"/>
  <c r="P80" i="2"/>
  <c r="O80" i="2"/>
  <c r="N80" i="2"/>
  <c r="N76" i="2" s="1"/>
  <c r="M80" i="2"/>
  <c r="L80" i="2"/>
  <c r="K80" i="2"/>
  <c r="J80" i="2"/>
  <c r="I80" i="2"/>
  <c r="H80" i="2"/>
  <c r="G80" i="2"/>
  <c r="Q77" i="2"/>
  <c r="Q76" i="2" s="1"/>
  <c r="P77" i="2"/>
  <c r="O77" i="2"/>
  <c r="N77" i="2"/>
  <c r="M77" i="2"/>
  <c r="L77" i="2"/>
  <c r="K77" i="2"/>
  <c r="J77" i="2"/>
  <c r="I77" i="2"/>
  <c r="I76" i="2" s="1"/>
  <c r="H77" i="2"/>
  <c r="G77" i="2"/>
  <c r="L64" i="2"/>
  <c r="K64" i="2"/>
  <c r="J64" i="2"/>
  <c r="I64" i="2"/>
  <c r="H64" i="2"/>
  <c r="G64" i="2"/>
  <c r="I55" i="2"/>
  <c r="R55" i="2" s="1"/>
  <c r="L54" i="2"/>
  <c r="K54" i="2"/>
  <c r="J54" i="2"/>
  <c r="H54" i="2"/>
  <c r="G54" i="2"/>
  <c r="L39" i="2"/>
  <c r="L38" i="2" s="1"/>
  <c r="K39" i="2"/>
  <c r="K38" i="2" s="1"/>
  <c r="G39" i="2"/>
  <c r="R39" i="2" s="1"/>
  <c r="J38" i="2"/>
  <c r="I38" i="2"/>
  <c r="H38" i="2"/>
  <c r="L37" i="2"/>
  <c r="L28" i="2" s="1"/>
  <c r="K37" i="2"/>
  <c r="H37" i="2"/>
  <c r="K35" i="2"/>
  <c r="I35" i="2"/>
  <c r="H35" i="2"/>
  <c r="K31" i="2"/>
  <c r="I31" i="2"/>
  <c r="H31" i="2"/>
  <c r="J29" i="2"/>
  <c r="J28" i="2" s="1"/>
  <c r="H29" i="2"/>
  <c r="G29" i="2"/>
  <c r="G28" i="2" s="1"/>
  <c r="L26" i="2"/>
  <c r="K26" i="2"/>
  <c r="J26" i="2"/>
  <c r="I26" i="2"/>
  <c r="H26" i="2"/>
  <c r="G26" i="2"/>
  <c r="K25" i="2"/>
  <c r="I25" i="2"/>
  <c r="G25" i="2"/>
  <c r="L24" i="2"/>
  <c r="I24" i="2"/>
  <c r="R24" i="2" s="1"/>
  <c r="J20" i="2"/>
  <c r="I20" i="2"/>
  <c r="H20" i="2"/>
  <c r="L19" i="2"/>
  <c r="K19" i="2"/>
  <c r="K18" i="2" s="1"/>
  <c r="J19" i="2"/>
  <c r="I19" i="2"/>
  <c r="H19" i="2"/>
  <c r="G19" i="2"/>
  <c r="L17" i="2"/>
  <c r="K17" i="2"/>
  <c r="J17" i="2"/>
  <c r="I17" i="2"/>
  <c r="H17" i="2"/>
  <c r="G17" i="2"/>
  <c r="J14" i="2"/>
  <c r="I14" i="2"/>
  <c r="R14" i="2" s="1"/>
  <c r="L13" i="2"/>
  <c r="L12" i="2" s="1"/>
  <c r="K13" i="2"/>
  <c r="K12" i="2" s="1"/>
  <c r="J13" i="2"/>
  <c r="I13" i="2"/>
  <c r="H13" i="2"/>
  <c r="G13" i="2"/>
  <c r="G12" i="2" s="1"/>
  <c r="H12" i="2"/>
  <c r="F83" i="2"/>
  <c r="F80" i="2"/>
  <c r="F77" i="2"/>
  <c r="F64" i="2"/>
  <c r="F54" i="2"/>
  <c r="F38" i="2"/>
  <c r="F28" i="2"/>
  <c r="F19" i="2"/>
  <c r="F18" i="2" s="1"/>
  <c r="F17" i="2"/>
  <c r="F13" i="2"/>
  <c r="G18" i="2" l="1"/>
  <c r="R26" i="2"/>
  <c r="H75" i="3"/>
  <c r="N85" i="2"/>
  <c r="J17" i="3"/>
  <c r="J10" i="3" s="1"/>
  <c r="J84" i="3" s="1"/>
  <c r="M84" i="3"/>
  <c r="P63" i="3"/>
  <c r="R35" i="2"/>
  <c r="R64" i="2"/>
  <c r="P13" i="3"/>
  <c r="P25" i="3"/>
  <c r="P28" i="3"/>
  <c r="O75" i="3"/>
  <c r="O84" i="3" s="1"/>
  <c r="J18" i="2"/>
  <c r="R25" i="2"/>
  <c r="F27" i="3"/>
  <c r="P76" i="3"/>
  <c r="L84" i="3"/>
  <c r="P82" i="3"/>
  <c r="I12" i="2"/>
  <c r="R38" i="2"/>
  <c r="R54" i="2"/>
  <c r="M76" i="2"/>
  <c r="M85" i="2" s="1"/>
  <c r="J76" i="2"/>
  <c r="P16" i="3"/>
  <c r="J12" i="2"/>
  <c r="R37" i="2"/>
  <c r="K76" i="2"/>
  <c r="E11" i="3"/>
  <c r="P30" i="3"/>
  <c r="P27" i="3" s="1"/>
  <c r="R13" i="2"/>
  <c r="R80" i="2"/>
  <c r="R20" i="2"/>
  <c r="P23" i="3"/>
  <c r="I17" i="3"/>
  <c r="I10" i="3" s="1"/>
  <c r="I84" i="3" s="1"/>
  <c r="R83" i="2"/>
  <c r="R31" i="2"/>
  <c r="P24" i="3"/>
  <c r="P79" i="3"/>
  <c r="H18" i="2"/>
  <c r="I28" i="2"/>
  <c r="G38" i="2"/>
  <c r="E17" i="3"/>
  <c r="H17" i="3"/>
  <c r="P12" i="3"/>
  <c r="P11" i="3" s="1"/>
  <c r="P38" i="3"/>
  <c r="P37" i="3" s="1"/>
  <c r="P54" i="3"/>
  <c r="P53" i="3" s="1"/>
  <c r="R77" i="2"/>
  <c r="G17" i="3"/>
  <c r="I18" i="2"/>
  <c r="L18" i="2"/>
  <c r="L11" i="2" s="1"/>
  <c r="L85" i="2" s="1"/>
  <c r="K28" i="2"/>
  <c r="K11" i="2" s="1"/>
  <c r="K85" i="2" s="1"/>
  <c r="N84" i="3"/>
  <c r="I54" i="2"/>
  <c r="Q85" i="2"/>
  <c r="G76" i="2"/>
  <c r="O76" i="2"/>
  <c r="O85" i="2" s="1"/>
  <c r="R19" i="2"/>
  <c r="G11" i="3"/>
  <c r="G27" i="3"/>
  <c r="F12" i="2"/>
  <c r="F11" i="2" s="1"/>
  <c r="R17" i="2"/>
  <c r="H28" i="2"/>
  <c r="H76" i="2"/>
  <c r="P76" i="2"/>
  <c r="P85" i="2" s="1"/>
  <c r="R29" i="2"/>
  <c r="H11" i="3"/>
  <c r="H10" i="3" s="1"/>
  <c r="H84" i="3" s="1"/>
  <c r="I27" i="3"/>
  <c r="P18" i="3"/>
  <c r="K84" i="3"/>
  <c r="F17" i="3"/>
  <c r="F10" i="3" s="1"/>
  <c r="F84" i="3" s="1"/>
  <c r="P19" i="3"/>
  <c r="D10" i="3"/>
  <c r="F76" i="2"/>
  <c r="R12" i="2" l="1"/>
  <c r="R76" i="2"/>
  <c r="P75" i="3"/>
  <c r="R28" i="2"/>
  <c r="I11" i="2"/>
  <c r="I85" i="2" s="1"/>
  <c r="R18" i="2"/>
  <c r="G11" i="2"/>
  <c r="R11" i="2" s="1"/>
  <c r="E10" i="3"/>
  <c r="E84" i="3" s="1"/>
  <c r="J11" i="2"/>
  <c r="J85" i="2" s="1"/>
  <c r="H11" i="2"/>
  <c r="H85" i="2" s="1"/>
  <c r="G10" i="3"/>
  <c r="G84" i="3" s="1"/>
  <c r="D84" i="3"/>
  <c r="F85" i="2"/>
  <c r="P17" i="3"/>
  <c r="G85" i="2"/>
  <c r="P10" i="3" l="1"/>
  <c r="P84" i="3"/>
  <c r="R85" i="2"/>
  <c r="E83" i="2"/>
  <c r="D83" i="2"/>
  <c r="E80" i="2"/>
  <c r="D80" i="2"/>
  <c r="E77" i="2"/>
  <c r="D77" i="2"/>
  <c r="D76" i="2" s="1"/>
  <c r="E72" i="2"/>
  <c r="D72" i="2"/>
  <c r="E69" i="2"/>
  <c r="D69" i="2"/>
  <c r="E64" i="2"/>
  <c r="D64" i="2"/>
  <c r="E54" i="2"/>
  <c r="D54" i="2"/>
  <c r="E47" i="2"/>
  <c r="D47" i="2"/>
  <c r="E38" i="2"/>
  <c r="D38" i="2"/>
  <c r="E28" i="2"/>
  <c r="D28" i="2"/>
  <c r="E18" i="2"/>
  <c r="D18" i="2"/>
  <c r="E12" i="2"/>
  <c r="E11" i="2" s="1"/>
  <c r="D12" i="2"/>
  <c r="E83" i="1"/>
  <c r="D83" i="1"/>
  <c r="E80" i="1"/>
  <c r="D80" i="1"/>
  <c r="E77" i="1"/>
  <c r="D77" i="1"/>
  <c r="E72" i="1"/>
  <c r="D72" i="1"/>
  <c r="E69" i="1"/>
  <c r="D69" i="1"/>
  <c r="E64" i="1"/>
  <c r="D64" i="1"/>
  <c r="E54" i="1"/>
  <c r="D54" i="1"/>
  <c r="E47" i="1"/>
  <c r="D47" i="1"/>
  <c r="E38" i="1"/>
  <c r="D38" i="1"/>
  <c r="E28" i="1"/>
  <c r="D28" i="1"/>
  <c r="E18" i="1"/>
  <c r="D18" i="1"/>
  <c r="E12" i="1"/>
  <c r="D12" i="1"/>
  <c r="E76" i="2" l="1"/>
  <c r="D76" i="1"/>
  <c r="D11" i="2"/>
  <c r="D85" i="2" s="1"/>
  <c r="E76" i="1"/>
  <c r="E11" i="1"/>
  <c r="D11" i="1"/>
  <c r="E85" i="2"/>
  <c r="E85" i="1" l="1"/>
  <c r="D85" i="1"/>
</calcChain>
</file>

<file path=xl/sharedStrings.xml><?xml version="1.0" encoding="utf-8"?>
<sst xmlns="http://schemas.openxmlformats.org/spreadsheetml/2006/main" count="276" uniqueCount="103">
  <si>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</si>
  <si>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</si>
  <si>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</si>
  <si>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</si>
  <si>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</si>
  <si>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</si>
  <si>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</si>
  <si>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</si>
  <si>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</si>
  <si>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</si>
  <si>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</si>
  <si>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</si>
  <si>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</si>
  <si>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</si>
  <si>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</si>
  <si>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</si>
  <si>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</si>
  <si>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</si>
  <si>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</si>
  <si>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</si>
  <si>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</si>
  <si>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</si>
  <si>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</si>
  <si>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</si>
  <si>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</si>
  <si>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</si>
  <si>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</si>
  <si>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</si>
  <si>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</si>
  <si>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</si>
  <si>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</si>
  <si>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</si>
  <si>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</si>
  <si>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</si>
  <si>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</si>
  <si>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</si>
  <si>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</si>
  <si>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</si>
  <si>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</si>
  <si>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</si>
  <si>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</si>
  <si>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</si>
  <si>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</si>
  <si>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</si>
  <si>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</si>
  <si>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</si>
  <si>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</si>
  <si>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</si>
  <si>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</si>
  <si>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</si>
  <si>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</si>
  <si>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</si>
  <si>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</si>
  <si>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</si>
  <si>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</si>
  <si>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</si>
  <si>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</si>
  <si>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</si>
  <si>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</si>
  <si>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</si>
  <si>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</si>
  <si>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</si>
  <si>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</si>
  <si>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</si>
  <si>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</si>
  <si>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</si>
  <si>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</si>
  <si>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</si>
  <si>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</si>
  <si>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</si>
  <si>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</si>
  <si>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</si>
  <si>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</si>
  <si>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</si>
  <si>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</si>
  <si>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</si>
  <si>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</si>
  <si>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</si>
  <si>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</si>
  <si>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</si>
  <si>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</si>
  <si>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</si>
  <si>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</si>
  <si>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</si>
  <si>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</si>
  <si>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</si>
  <si>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</si>
  <si>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</si>
  <si>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</si>
  <si>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</si>
  <si>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</si>
  <si>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</si>
  <si>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</si>
  <si>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</si>
  <si>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</si>
  <si>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</si>
  <si>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</si>
  <si>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</si>
  <si>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Industria, Comercio y Mypimes</t>
  </si>
  <si>
    <t>Comision Nacional de Defensa de la Competencia (PROCOMPETENCIA)</t>
  </si>
  <si>
    <t>Comision Nacional de Defensa de la Compentica (PROCOMPETENCIA)</t>
  </si>
  <si>
    <t>Total Devengado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</si>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</sst>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0" fillId="0" borderId="0" xfId="1" applyFont="1" applyAlignment="1">
      <alignment vertical="center" wrapText="1"/>
    </xf>
    <xf numFmtId="43" fontId="0" fillId="0" borderId="0" xfId="1" applyFont="1" applyAlignment="1">
      <alignment wrapText="1"/>
    </xf>
    <xf numFmtId="43" fontId="3" fillId="0" borderId="0" xfId="1" applyFont="1" applyAlignment="1">
      <alignment vertical="center" wrapText="1"/>
    </xf>
    <xf numFmtId="43" fontId="1" fillId="0" borderId="0" xfId="1" applyFont="1" applyAlignment="1">
      <alignment vertical="center" wrapText="1"/>
    </xf>
    <xf numFmtId="43" fontId="0" fillId="0" borderId="0" xfId="0" applyNumberFormat="1"/>
    <xf numFmtId="43" fontId="0" fillId="0" borderId="0" xfId="1" applyFont="1" applyAlignment="1">
      <alignment vertical="center"/>
    </xf>
    <xf numFmtId="43" fontId="0" fillId="0" borderId="0" xfId="1" applyFont="1" applyAlignment="1"/>
    <xf numFmtId="43" fontId="1" fillId="0" borderId="0" xfId="1" applyFont="1"/>
    <xf numFmtId="43" fontId="2" fillId="2" borderId="2" xfId="1" applyFont="1" applyFill="1" applyBorder="1"/>
    <xf numFmtId="43" fontId="0" fillId="0" borderId="0" xfId="1" applyFont="1" applyFill="1"/>
    <xf numFmtId="43" fontId="8" fillId="0" borderId="0" xfId="1" applyFont="1"/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671262</xdr:colOff>
      <xdr:row>1</xdr:row>
      <xdr:rowOff>142876</xdr:rowOff>
    </xdr:from>
    <xdr:to>
      <xdr:col>2</xdr:col>
      <xdr:colOff>1819275</xdr:colOff>
      <xdr:row>4</xdr:row>
      <xdr:rowOff>130706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3262" y="333376"/>
          <a:ext cx="1910013" cy="806980"/>
        </a:xfrm>
        <a:prstGeom prst="rect">
          <a:avLst/>
        </a:prstGeom>
      </xdr:spPr>
    </xdr:pic>
    <xdr:clientData/>
  </xdr:twoCellAnchor>
  <xdr:twoCellAnchor editAs="oneCell">
    <xdr:from>
      <xdr:col>3</xdr:col>
      <xdr:colOff>1095375</xdr:colOff>
      <xdr:row>85</xdr:row>
      <xdr:rowOff>142875</xdr:rowOff>
    </xdr:from>
    <xdr:to>
      <xdr:col>5</xdr:col>
      <xdr:colOff>495300</xdr:colOff>
      <xdr:row>93</xdr:row>
      <xdr:rowOff>70765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39275" y="16716375"/>
          <a:ext cx="1581150" cy="145189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85</xdr:row>
      <xdr:rowOff>76200</xdr:rowOff>
    </xdr:from>
    <xdr:to>
      <xdr:col>2</xdr:col>
      <xdr:colOff>2771775</xdr:colOff>
      <xdr:row>91</xdr:row>
      <xdr:rowOff>185955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1625" y="16649700"/>
          <a:ext cx="2724150" cy="12527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15875</xdr:rowOff>
    </xdr:from>
    <xdr:to>
      <xdr:col>2</xdr:col>
      <xdr:colOff>2262438</xdr:colOff>
      <xdr:row>4</xdr:row>
      <xdr:rowOff>64070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06375"/>
          <a:ext cx="2052888" cy="873695"/>
        </a:xfrm>
        <a:prstGeom prst="rect">
          <a:avLst/>
        </a:prstGeom>
      </xdr:spPr>
    </xdr:pic>
    <xdr:clientData/>
  </xdr:twoCellAnchor>
  <xdr:twoCellAnchor editAs="oneCell">
    <xdr:from>
      <xdr:col>14</xdr:col>
      <xdr:colOff>723901</xdr:colOff>
      <xdr:row>2</xdr:row>
      <xdr:rowOff>76200</xdr:rowOff>
    </xdr:from>
    <xdr:to>
      <xdr:col>17</xdr:col>
      <xdr:colOff>490789</xdr:colOff>
      <xdr:row>5</xdr:row>
      <xdr:rowOff>114870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3276" y="457200"/>
          <a:ext cx="2052888" cy="8673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236765</xdr:colOff>
      <xdr:row>1</xdr:row>
      <xdr:rowOff>151039</xdr:rowOff>
    </xdr:from>
    <xdr:to>
      <xdr:col>2</xdr:col>
      <xdr:colOff>2289653</xdr:colOff>
      <xdr:row>4</xdr:row>
      <xdr:rowOff>188348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229" y="341539"/>
          <a:ext cx="2052888" cy="867345"/>
        </a:xfrm>
        <a:prstGeom prst="rect">
          <a:avLst/>
        </a:prstGeom>
      </xdr:spPr>
    </xdr:pic>
    <xdr:clientData/>
  </xdr:twoCellAnchor>
  <xdr:twoCellAnchor editAs="oneCell">
    <xdr:from>
      <xdr:col>13</xdr:col>
      <xdr:colOff>789215</xdr:colOff>
      <xdr:row>2</xdr:row>
      <xdr:rowOff>117021</xdr:rowOff>
    </xdr:from>
    <xdr:to>
      <xdr:col>15</xdr:col>
      <xdr:colOff>1018746</xdr:colOff>
      <xdr:row>5</xdr:row>
      <xdr:rowOff>140723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1" y="498021"/>
          <a:ext cx="2052888" cy="86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100"/>
  <sheetViews>
    <sheetView showGridLines="0" tabSelected="1" topLeftCell="A4" zoomScaleNormal="100" workbookViewId="0">
      <pane xSplit="3" ySplit="8" topLeftCell="D12" activePane="bottomRight" state="frozen"/>
      <selection activeCell="A4" sqref="A4"/>
      <selection pane="topRight" activeCell="D4" sqref="D4"/>
      <selection pane="bottomLeft" activeCell="A12" sqref="A12"/>
      <selection pane="bottomRight" activeCell="H43" sqref="H43"/>
    </sheetView>
  </sheetViews>
  <sheetFormatPr baseColWidth="10" defaultColWidth="11.42578125" defaultRowHeight="15" x14ac:dyDescent="0.25"/>
  <cols>
    <col min="3" max="3" width="102.28515625" customWidth="1"/>
    <col min="4" max="4" width="16.85546875" customWidth="1"/>
    <col min="5" max="5" width="15.85546875" customWidth="1"/>
    <col min="6" max="6" width="20.140625" customWidth="1"/>
    <col min="8" max="8" width="15.140625" bestFit="1" customWidth="1"/>
  </cols>
  <sheetData>
    <row r="3" spans="2:16" ht="28.5" customHeight="1" x14ac:dyDescent="0.25">
      <c r="C3" s="31" t="s">
        <v>98</v>
      </c>
      <c r="D3" s="32"/>
      <c r="E3" s="32"/>
      <c r="F3" s="32"/>
      <c r="G3" s="7"/>
      <c r="H3" s="7"/>
      <c r="I3" s="7"/>
      <c r="J3" s="7"/>
      <c r="K3" s="7"/>
      <c r="L3" s="7"/>
      <c r="M3" s="7"/>
      <c r="N3" s="7"/>
      <c r="O3" s="7"/>
      <c r="P3" s="7"/>
    </row>
    <row r="4" spans="2:16" ht="21" customHeight="1" x14ac:dyDescent="0.25">
      <c r="C4" s="38" t="s">
        <v>99</v>
      </c>
      <c r="D4" s="39"/>
      <c r="E4" s="39"/>
      <c r="F4" s="39"/>
      <c r="G4" s="8"/>
      <c r="H4" s="8"/>
      <c r="I4" s="8"/>
      <c r="J4" s="8"/>
      <c r="K4" s="8"/>
      <c r="L4" s="8"/>
      <c r="M4" s="8"/>
      <c r="N4" s="8"/>
      <c r="O4" s="8"/>
      <c r="P4" s="8"/>
    </row>
    <row r="5" spans="2:16" ht="15.75" x14ac:dyDescent="0.25">
      <c r="C5" s="42" t="s">
        <v>102</v>
      </c>
      <c r="D5" s="43"/>
      <c r="E5" s="43"/>
      <c r="F5" s="43"/>
      <c r="G5" s="9"/>
      <c r="H5" s="9"/>
      <c r="I5" s="9"/>
      <c r="J5" s="9"/>
      <c r="K5" s="9"/>
      <c r="L5" s="9"/>
      <c r="M5" s="9"/>
      <c r="N5" s="9"/>
      <c r="O5" s="9"/>
      <c r="P5" s="9"/>
    </row>
    <row r="6" spans="2:16" ht="15.75" customHeight="1" x14ac:dyDescent="0.25">
      <c r="C6" s="40" t="s">
        <v>76</v>
      </c>
      <c r="D6" s="41"/>
      <c r="E6" s="41"/>
      <c r="F6" s="41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ht="15.75" customHeight="1" x14ac:dyDescent="0.25">
      <c r="B7" s="11"/>
      <c r="C7" s="40" t="s">
        <v>77</v>
      </c>
      <c r="D7" s="41"/>
      <c r="E7" s="41"/>
      <c r="F7" s="41"/>
      <c r="G7" s="10"/>
      <c r="H7" s="10"/>
      <c r="I7" s="10"/>
      <c r="J7" s="10"/>
      <c r="K7" s="10"/>
      <c r="L7" s="10"/>
      <c r="M7" s="10"/>
      <c r="N7" s="10"/>
      <c r="O7" s="10"/>
      <c r="P7" s="10"/>
    </row>
    <row r="9" spans="2:16" ht="15" customHeight="1" x14ac:dyDescent="0.25">
      <c r="C9" s="44" t="s">
        <v>66</v>
      </c>
      <c r="D9" s="36" t="s">
        <v>94</v>
      </c>
      <c r="E9" s="36" t="s">
        <v>93</v>
      </c>
      <c r="F9" s="36" t="s">
        <v>101</v>
      </c>
    </row>
    <row r="10" spans="2:16" ht="23.25" customHeight="1" x14ac:dyDescent="0.25">
      <c r="C10" s="44"/>
      <c r="D10" s="37"/>
      <c r="E10" s="37"/>
      <c r="F10" s="37"/>
    </row>
    <row r="11" spans="2:16" x14ac:dyDescent="0.25">
      <c r="C11" s="1" t="s">
        <v>0</v>
      </c>
      <c r="D11" s="19">
        <f>+D12+D18+D28+D38+D47+D54+D64+D69+D72</f>
        <v>195360446</v>
      </c>
      <c r="E11" s="19">
        <f>+E12+E18+E28+E38+E47+E54+E64+E69+E72</f>
        <v>204088005.59999999</v>
      </c>
      <c r="F11" s="19">
        <f>+F12+F18+F28+F38+F47+F54+F64+F69+F72</f>
        <v>52900829.030000001</v>
      </c>
    </row>
    <row r="12" spans="2:16" x14ac:dyDescent="0.25">
      <c r="C12" s="3" t="s">
        <v>1</v>
      </c>
      <c r="D12" s="17">
        <f>+SUM(D13:D17)</f>
        <v>150835000</v>
      </c>
      <c r="E12" s="17">
        <f t="shared" ref="E12:F12" si="0">+SUM(E13:E17)</f>
        <v>150835000</v>
      </c>
      <c r="F12" s="17">
        <f t="shared" si="0"/>
        <v>43296197.390000001</v>
      </c>
    </row>
    <row r="13" spans="2:16" x14ac:dyDescent="0.25">
      <c r="C13" s="4" t="s">
        <v>2</v>
      </c>
      <c r="D13" s="18">
        <v>121847000</v>
      </c>
      <c r="E13" s="18">
        <v>121847000</v>
      </c>
      <c r="F13" s="18">
        <v>31246450.59</v>
      </c>
    </row>
    <row r="14" spans="2:16" x14ac:dyDescent="0.25">
      <c r="C14" s="4" t="s">
        <v>3</v>
      </c>
      <c r="D14" s="18">
        <v>13427000</v>
      </c>
      <c r="E14" s="18">
        <v>13427000</v>
      </c>
      <c r="F14" s="18">
        <v>7733815.9900000002</v>
      </c>
    </row>
    <row r="15" spans="2:16" x14ac:dyDescent="0.25">
      <c r="C15" s="4" t="s">
        <v>4</v>
      </c>
      <c r="D15" s="18">
        <v>100000</v>
      </c>
      <c r="E15" s="18">
        <v>100000</v>
      </c>
      <c r="F15" s="18">
        <v>0</v>
      </c>
    </row>
    <row r="16" spans="2:16" x14ac:dyDescent="0.25">
      <c r="C16" s="4" t="s">
        <v>5</v>
      </c>
      <c r="D16" s="18">
        <v>0</v>
      </c>
      <c r="E16" s="18">
        <v>0</v>
      </c>
      <c r="F16" s="18"/>
    </row>
    <row r="17" spans="3:8" x14ac:dyDescent="0.25">
      <c r="C17" s="4" t="s">
        <v>6</v>
      </c>
      <c r="D17" s="18">
        <v>15461000</v>
      </c>
      <c r="E17" s="18">
        <v>15461000</v>
      </c>
      <c r="F17" s="18">
        <v>4315930.8099999996</v>
      </c>
    </row>
    <row r="18" spans="3:8" x14ac:dyDescent="0.25">
      <c r="C18" s="3" t="s">
        <v>7</v>
      </c>
      <c r="D18" s="17">
        <f>+SUM(D19:D27)</f>
        <v>26481446</v>
      </c>
      <c r="E18" s="17">
        <f>+SUM(E19:E27)</f>
        <v>39610560.100000001</v>
      </c>
      <c r="F18" s="17">
        <f>+SUM(F19:F27)</f>
        <v>9016332.2599999998</v>
      </c>
    </row>
    <row r="19" spans="3:8" x14ac:dyDescent="0.25">
      <c r="C19" s="4" t="s">
        <v>8</v>
      </c>
      <c r="D19" s="18">
        <v>4088600</v>
      </c>
      <c r="E19" s="18">
        <v>4517000</v>
      </c>
      <c r="F19" s="18">
        <v>1135099.8899999999</v>
      </c>
    </row>
    <row r="20" spans="3:8" x14ac:dyDescent="0.25">
      <c r="C20" s="4" t="s">
        <v>9</v>
      </c>
      <c r="D20" s="18">
        <v>1155000</v>
      </c>
      <c r="E20" s="18">
        <v>1855000</v>
      </c>
      <c r="F20" s="18">
        <v>1217.76</v>
      </c>
    </row>
    <row r="21" spans="3:8" x14ac:dyDescent="0.25">
      <c r="C21" s="4" t="s">
        <v>10</v>
      </c>
      <c r="D21" s="18">
        <v>1100000</v>
      </c>
      <c r="E21" s="18">
        <v>2100000</v>
      </c>
      <c r="F21" s="18">
        <v>557194.5</v>
      </c>
    </row>
    <row r="22" spans="3:8" x14ac:dyDescent="0.25">
      <c r="C22" s="4" t="s">
        <v>11</v>
      </c>
      <c r="D22" s="18">
        <v>530000</v>
      </c>
      <c r="E22" s="18">
        <v>1230000</v>
      </c>
      <c r="F22" s="29">
        <v>0</v>
      </c>
    </row>
    <row r="23" spans="3:8" x14ac:dyDescent="0.25">
      <c r="C23" s="4" t="s">
        <v>12</v>
      </c>
      <c r="D23" s="18">
        <v>2635000</v>
      </c>
      <c r="E23" s="18">
        <v>3685000</v>
      </c>
      <c r="F23" s="18">
        <v>1383974.64</v>
      </c>
    </row>
    <row r="24" spans="3:8" x14ac:dyDescent="0.25">
      <c r="C24" s="4" t="s">
        <v>13</v>
      </c>
      <c r="D24" s="18">
        <v>9700000</v>
      </c>
      <c r="E24" s="18">
        <v>9800000</v>
      </c>
      <c r="F24" s="18">
        <v>3211274.32</v>
      </c>
    </row>
    <row r="25" spans="3:8" x14ac:dyDescent="0.25">
      <c r="C25" s="4" t="s">
        <v>14</v>
      </c>
      <c r="D25" s="18">
        <v>1330000</v>
      </c>
      <c r="E25" s="18">
        <v>2680000</v>
      </c>
      <c r="F25" s="18">
        <v>314292.21000000002</v>
      </c>
    </row>
    <row r="26" spans="3:8" x14ac:dyDescent="0.25">
      <c r="C26" s="4" t="s">
        <v>15</v>
      </c>
      <c r="D26" s="18">
        <v>2467846</v>
      </c>
      <c r="E26" s="18">
        <v>5539346</v>
      </c>
      <c r="F26" s="25">
        <v>467748</v>
      </c>
    </row>
    <row r="27" spans="3:8" x14ac:dyDescent="0.25">
      <c r="C27" s="4" t="s">
        <v>16</v>
      </c>
      <c r="D27" s="18">
        <v>3475000</v>
      </c>
      <c r="E27" s="18">
        <v>8204214.0999999996</v>
      </c>
      <c r="F27" s="30">
        <v>1945530.94</v>
      </c>
    </row>
    <row r="28" spans="3:8" x14ac:dyDescent="0.25">
      <c r="C28" s="3" t="s">
        <v>17</v>
      </c>
      <c r="D28" s="17">
        <f>+SUM(D29:D37)</f>
        <v>8044000</v>
      </c>
      <c r="E28" s="17">
        <f>+SUM(E29:E37)</f>
        <v>10253445.5</v>
      </c>
      <c r="F28" s="17">
        <f>+SUM(F29:F37)</f>
        <v>465358.38</v>
      </c>
      <c r="H28" s="24"/>
    </row>
    <row r="29" spans="3:8" x14ac:dyDescent="0.25">
      <c r="C29" s="4" t="s">
        <v>18</v>
      </c>
      <c r="D29" s="18">
        <v>500000</v>
      </c>
      <c r="E29" s="18">
        <v>820000</v>
      </c>
      <c r="F29" s="18">
        <v>220630.46</v>
      </c>
    </row>
    <row r="30" spans="3:8" x14ac:dyDescent="0.25">
      <c r="C30" s="4" t="s">
        <v>19</v>
      </c>
      <c r="D30" s="18">
        <v>239000</v>
      </c>
      <c r="E30" s="18">
        <v>589000</v>
      </c>
      <c r="F30" s="18">
        <v>0</v>
      </c>
    </row>
    <row r="31" spans="3:8" x14ac:dyDescent="0.25">
      <c r="C31" s="4" t="s">
        <v>20</v>
      </c>
      <c r="D31" s="18">
        <v>430000</v>
      </c>
      <c r="E31" s="18">
        <v>530000</v>
      </c>
      <c r="F31" s="18">
        <v>180803.19</v>
      </c>
    </row>
    <row r="32" spans="3:8" x14ac:dyDescent="0.25">
      <c r="C32" s="4" t="s">
        <v>21</v>
      </c>
      <c r="D32" s="18">
        <v>0</v>
      </c>
      <c r="E32" s="18">
        <v>0</v>
      </c>
      <c r="F32" s="18">
        <v>0</v>
      </c>
    </row>
    <row r="33" spans="3:6" x14ac:dyDescent="0.25">
      <c r="C33" s="4" t="s">
        <v>22</v>
      </c>
      <c r="D33" s="18">
        <v>160000</v>
      </c>
      <c r="E33" s="18">
        <v>210000</v>
      </c>
      <c r="F33" s="18">
        <v>0</v>
      </c>
    </row>
    <row r="34" spans="3:6" x14ac:dyDescent="0.25">
      <c r="C34" s="4" t="s">
        <v>23</v>
      </c>
      <c r="D34" s="18">
        <v>80000</v>
      </c>
      <c r="E34" s="18">
        <v>80000</v>
      </c>
      <c r="F34" s="18">
        <v>0</v>
      </c>
    </row>
    <row r="35" spans="3:6" x14ac:dyDescent="0.25">
      <c r="C35" s="4" t="s">
        <v>24</v>
      </c>
      <c r="D35" s="18">
        <v>5615000</v>
      </c>
      <c r="E35" s="18">
        <v>6215000</v>
      </c>
      <c r="F35" s="18">
        <v>25410</v>
      </c>
    </row>
    <row r="36" spans="3:6" x14ac:dyDescent="0.25">
      <c r="C36" s="4" t="s">
        <v>25</v>
      </c>
      <c r="D36" s="18">
        <v>0</v>
      </c>
      <c r="E36" s="18">
        <v>0</v>
      </c>
      <c r="F36" s="18"/>
    </row>
    <row r="37" spans="3:6" x14ac:dyDescent="0.25">
      <c r="C37" s="4" t="s">
        <v>26</v>
      </c>
      <c r="D37" s="18">
        <v>1020000</v>
      </c>
      <c r="E37" s="18">
        <v>1809445.5</v>
      </c>
      <c r="F37" s="18">
        <v>38514.730000000003</v>
      </c>
    </row>
    <row r="38" spans="3:6" x14ac:dyDescent="0.25">
      <c r="C38" s="3" t="s">
        <v>27</v>
      </c>
      <c r="D38" s="17">
        <f>+SUM(D39:D46)</f>
        <v>1000000</v>
      </c>
      <c r="E38" s="17">
        <f>+SUM(E39:E46)</f>
        <v>1000000</v>
      </c>
      <c r="F38" s="17">
        <f>+SUM(F39:F46)</f>
        <v>122941</v>
      </c>
    </row>
    <row r="39" spans="3:6" x14ac:dyDescent="0.25">
      <c r="C39" s="4" t="s">
        <v>28</v>
      </c>
      <c r="D39" s="18">
        <v>1000000</v>
      </c>
      <c r="E39" s="18">
        <v>1000000</v>
      </c>
      <c r="F39" s="18">
        <v>122941</v>
      </c>
    </row>
    <row r="40" spans="3:6" x14ac:dyDescent="0.25">
      <c r="C40" s="4" t="s">
        <v>29</v>
      </c>
      <c r="D40" s="18"/>
      <c r="E40" s="18"/>
      <c r="F40" s="18">
        <v>0</v>
      </c>
    </row>
    <row r="41" spans="3:6" x14ac:dyDescent="0.25">
      <c r="C41" s="4" t="s">
        <v>30</v>
      </c>
      <c r="D41" s="18"/>
      <c r="E41" s="18"/>
      <c r="F41" s="18">
        <v>0</v>
      </c>
    </row>
    <row r="42" spans="3:6" x14ac:dyDescent="0.25">
      <c r="C42" s="4" t="s">
        <v>31</v>
      </c>
      <c r="D42" s="18"/>
      <c r="E42" s="18"/>
      <c r="F42" s="18">
        <v>0</v>
      </c>
    </row>
    <row r="43" spans="3:6" x14ac:dyDescent="0.25">
      <c r="C43" s="4" t="s">
        <v>32</v>
      </c>
      <c r="D43" s="18"/>
      <c r="E43" s="18"/>
      <c r="F43" s="18">
        <v>0</v>
      </c>
    </row>
    <row r="44" spans="3:6" x14ac:dyDescent="0.25">
      <c r="C44" s="4" t="s">
        <v>33</v>
      </c>
      <c r="D44" s="18"/>
      <c r="E44" s="18"/>
      <c r="F44" s="18">
        <v>0</v>
      </c>
    </row>
    <row r="45" spans="3:6" x14ac:dyDescent="0.25">
      <c r="C45" s="4" t="s">
        <v>34</v>
      </c>
      <c r="D45" s="18"/>
      <c r="E45" s="18"/>
      <c r="F45" s="18">
        <v>0</v>
      </c>
    </row>
    <row r="46" spans="3:6" x14ac:dyDescent="0.25">
      <c r="C46" s="4" t="s">
        <v>35</v>
      </c>
      <c r="D46" s="18"/>
      <c r="E46" s="18"/>
      <c r="F46" s="17">
        <f>+SUM(F47:F53)</f>
        <v>0</v>
      </c>
    </row>
    <row r="47" spans="3:6" x14ac:dyDescent="0.25">
      <c r="C47" s="3" t="s">
        <v>36</v>
      </c>
      <c r="D47" s="17">
        <f>+SUM(D48:D53)</f>
        <v>0</v>
      </c>
      <c r="E47" s="17">
        <f>+SUM(E48:E53)</f>
        <v>0</v>
      </c>
      <c r="F47" s="18">
        <f t="shared" ref="F47:F53" si="1">+SUM(G47:R47)</f>
        <v>0</v>
      </c>
    </row>
    <row r="48" spans="3:6" x14ac:dyDescent="0.25">
      <c r="C48" s="4" t="s">
        <v>37</v>
      </c>
      <c r="D48" s="18"/>
      <c r="E48" s="18"/>
      <c r="F48" s="18">
        <f t="shared" si="1"/>
        <v>0</v>
      </c>
    </row>
    <row r="49" spans="3:6" x14ac:dyDescent="0.25">
      <c r="C49" s="4" t="s">
        <v>38</v>
      </c>
      <c r="D49" s="18"/>
      <c r="E49" s="18"/>
      <c r="F49" s="18">
        <f t="shared" si="1"/>
        <v>0</v>
      </c>
    </row>
    <row r="50" spans="3:6" x14ac:dyDescent="0.25">
      <c r="C50" s="4" t="s">
        <v>39</v>
      </c>
      <c r="D50" s="18"/>
      <c r="E50" s="18"/>
      <c r="F50" s="18">
        <f t="shared" si="1"/>
        <v>0</v>
      </c>
    </row>
    <row r="51" spans="3:6" x14ac:dyDescent="0.25">
      <c r="C51" s="4" t="s">
        <v>40</v>
      </c>
      <c r="D51" s="18"/>
      <c r="E51" s="18"/>
      <c r="F51" s="18">
        <f t="shared" si="1"/>
        <v>0</v>
      </c>
    </row>
    <row r="52" spans="3:6" x14ac:dyDescent="0.25">
      <c r="C52" s="4" t="s">
        <v>41</v>
      </c>
      <c r="D52" s="18"/>
      <c r="E52" s="18"/>
      <c r="F52" s="18">
        <f t="shared" si="1"/>
        <v>0</v>
      </c>
    </row>
    <row r="53" spans="3:6" x14ac:dyDescent="0.25">
      <c r="C53" s="4" t="s">
        <v>42</v>
      </c>
      <c r="D53" s="18"/>
      <c r="E53" s="18"/>
      <c r="F53" s="18">
        <f t="shared" si="1"/>
        <v>0</v>
      </c>
    </row>
    <row r="54" spans="3:6" x14ac:dyDescent="0.25">
      <c r="C54" s="3" t="s">
        <v>43</v>
      </c>
      <c r="D54" s="17">
        <f>+SUM(D55:D63)</f>
        <v>9000000</v>
      </c>
      <c r="E54" s="17">
        <f>+SUM(E55:E63)</f>
        <v>2389000</v>
      </c>
      <c r="F54" s="17">
        <f>+SUM(F55:F63)</f>
        <v>0</v>
      </c>
    </row>
    <row r="55" spans="3:6" x14ac:dyDescent="0.25">
      <c r="C55" s="4" t="s">
        <v>44</v>
      </c>
      <c r="D55" s="18">
        <v>6657500</v>
      </c>
      <c r="E55" s="18">
        <v>1704000</v>
      </c>
      <c r="F55" s="27">
        <v>0</v>
      </c>
    </row>
    <row r="56" spans="3:6" x14ac:dyDescent="0.25">
      <c r="C56" s="4" t="s">
        <v>45</v>
      </c>
      <c r="D56" s="18">
        <v>805000</v>
      </c>
      <c r="E56" s="18">
        <v>120000</v>
      </c>
      <c r="F56" s="27">
        <v>0</v>
      </c>
    </row>
    <row r="57" spans="3:6" x14ac:dyDescent="0.25">
      <c r="C57" s="4" t="s">
        <v>46</v>
      </c>
      <c r="D57" s="18"/>
      <c r="E57" s="18"/>
      <c r="F57" s="27">
        <v>0</v>
      </c>
    </row>
    <row r="58" spans="3:6" x14ac:dyDescent="0.25">
      <c r="C58" s="4" t="s">
        <v>47</v>
      </c>
      <c r="D58" s="18"/>
      <c r="E58" s="18"/>
      <c r="F58" s="27">
        <v>0</v>
      </c>
    </row>
    <row r="59" spans="3:6" x14ac:dyDescent="0.25">
      <c r="C59" s="4" t="s">
        <v>48</v>
      </c>
      <c r="D59" s="18">
        <v>1417500</v>
      </c>
      <c r="E59" s="18">
        <v>465000</v>
      </c>
      <c r="F59" s="27">
        <v>0</v>
      </c>
    </row>
    <row r="60" spans="3:6" x14ac:dyDescent="0.25">
      <c r="C60" s="4" t="s">
        <v>49</v>
      </c>
      <c r="D60" s="18">
        <v>120000</v>
      </c>
      <c r="E60" s="18">
        <v>100000</v>
      </c>
      <c r="F60" s="27">
        <v>0</v>
      </c>
    </row>
    <row r="61" spans="3:6" x14ac:dyDescent="0.25">
      <c r="C61" s="4" t="s">
        <v>50</v>
      </c>
      <c r="D61" s="18"/>
      <c r="E61" s="18"/>
      <c r="F61" s="27">
        <v>0</v>
      </c>
    </row>
    <row r="62" spans="3:6" x14ac:dyDescent="0.25">
      <c r="C62" s="4" t="s">
        <v>51</v>
      </c>
      <c r="D62" s="18"/>
      <c r="E62" s="18"/>
      <c r="F62" s="27">
        <v>0</v>
      </c>
    </row>
    <row r="63" spans="3:6" x14ac:dyDescent="0.25">
      <c r="C63" s="4" t="s">
        <v>52</v>
      </c>
      <c r="D63" s="18"/>
      <c r="E63" s="18">
        <v>0</v>
      </c>
      <c r="F63" s="27">
        <v>0</v>
      </c>
    </row>
    <row r="64" spans="3:6" x14ac:dyDescent="0.25">
      <c r="C64" s="3" t="s">
        <v>53</v>
      </c>
      <c r="D64" s="17">
        <f>+SUM(D65:D68)</f>
        <v>0</v>
      </c>
      <c r="E64" s="17">
        <f>+SUM(E65:E68)</f>
        <v>0</v>
      </c>
      <c r="F64" s="17">
        <f>+SUM(F65:F68)</f>
        <v>0</v>
      </c>
    </row>
    <row r="65" spans="3:6" x14ac:dyDescent="0.25">
      <c r="C65" s="4" t="s">
        <v>54</v>
      </c>
      <c r="D65" s="18">
        <v>0</v>
      </c>
      <c r="E65" s="18">
        <v>0</v>
      </c>
      <c r="F65" s="27">
        <f t="shared" ref="F65:F68" si="2">+SUM(G65:R65)</f>
        <v>0</v>
      </c>
    </row>
    <row r="66" spans="3:6" x14ac:dyDescent="0.25">
      <c r="C66" s="4" t="s">
        <v>55</v>
      </c>
      <c r="D66" s="18"/>
      <c r="E66" s="18"/>
      <c r="F66" s="27">
        <f t="shared" si="2"/>
        <v>0</v>
      </c>
    </row>
    <row r="67" spans="3:6" x14ac:dyDescent="0.25">
      <c r="C67" s="4" t="s">
        <v>56</v>
      </c>
      <c r="D67" s="18"/>
      <c r="E67" s="18"/>
      <c r="F67" s="27">
        <f t="shared" si="2"/>
        <v>0</v>
      </c>
    </row>
    <row r="68" spans="3:6" x14ac:dyDescent="0.25">
      <c r="C68" s="4" t="s">
        <v>57</v>
      </c>
      <c r="D68" s="18"/>
      <c r="E68" s="18"/>
      <c r="F68" s="27">
        <f t="shared" si="2"/>
        <v>0</v>
      </c>
    </row>
    <row r="69" spans="3:6" x14ac:dyDescent="0.25">
      <c r="C69" s="3" t="s">
        <v>58</v>
      </c>
      <c r="D69" s="17">
        <f>+SUM(D70:D71)</f>
        <v>0</v>
      </c>
      <c r="E69" s="17">
        <f>+SUM(E70:E71)</f>
        <v>0</v>
      </c>
      <c r="F69" s="17">
        <f>+SUM(F70:F71)</f>
        <v>0</v>
      </c>
    </row>
    <row r="70" spans="3:6" x14ac:dyDescent="0.25">
      <c r="C70" s="4" t="s">
        <v>59</v>
      </c>
      <c r="D70" s="18"/>
      <c r="E70" s="18"/>
      <c r="F70" s="27">
        <f t="shared" ref="F70:F71" si="3">+SUM(G70:R70)</f>
        <v>0</v>
      </c>
    </row>
    <row r="71" spans="3:6" x14ac:dyDescent="0.25">
      <c r="C71" s="4" t="s">
        <v>60</v>
      </c>
      <c r="D71" s="18"/>
      <c r="E71" s="18"/>
      <c r="F71" s="27">
        <f t="shared" si="3"/>
        <v>0</v>
      </c>
    </row>
    <row r="72" spans="3:6" x14ac:dyDescent="0.25">
      <c r="C72" s="3" t="s">
        <v>61</v>
      </c>
      <c r="D72" s="17">
        <f>+SUM(D73:D75)</f>
        <v>0</v>
      </c>
      <c r="E72" s="17">
        <f>+SUM(E73:E75)</f>
        <v>0</v>
      </c>
      <c r="F72" s="17">
        <f>+SUM(F73:F75)</f>
        <v>0</v>
      </c>
    </row>
    <row r="73" spans="3:6" x14ac:dyDescent="0.25">
      <c r="C73" s="4" t="s">
        <v>62</v>
      </c>
      <c r="D73" s="18"/>
      <c r="E73" s="18"/>
      <c r="F73" s="27">
        <f t="shared" ref="F73:F75" si="4">+SUM(G73:R73)</f>
        <v>0</v>
      </c>
    </row>
    <row r="74" spans="3:6" x14ac:dyDescent="0.25">
      <c r="C74" s="4" t="s">
        <v>63</v>
      </c>
      <c r="D74" s="18"/>
      <c r="E74" s="18"/>
      <c r="F74" s="27">
        <f t="shared" si="4"/>
        <v>0</v>
      </c>
    </row>
    <row r="75" spans="3:6" x14ac:dyDescent="0.25">
      <c r="C75" s="4" t="s">
        <v>64</v>
      </c>
      <c r="D75" s="18"/>
      <c r="E75" s="18"/>
      <c r="F75" s="27">
        <f t="shared" si="4"/>
        <v>0</v>
      </c>
    </row>
    <row r="76" spans="3:6" x14ac:dyDescent="0.25">
      <c r="C76" s="1" t="s">
        <v>67</v>
      </c>
      <c r="D76" s="19">
        <f>+D77+D80+D83</f>
        <v>0</v>
      </c>
      <c r="E76" s="19">
        <f>+E77+E80+E83</f>
        <v>0</v>
      </c>
      <c r="F76" s="19">
        <f>+F77+F80+F83</f>
        <v>0</v>
      </c>
    </row>
    <row r="77" spans="3:6" x14ac:dyDescent="0.25">
      <c r="C77" s="3" t="s">
        <v>68</v>
      </c>
      <c r="D77" s="17">
        <f>+SUM(D78:D79)</f>
        <v>0</v>
      </c>
      <c r="E77" s="17">
        <f>+SUM(E78:E79)</f>
        <v>0</v>
      </c>
      <c r="F77" s="17">
        <f>+SUM(F78:F79)</f>
        <v>0</v>
      </c>
    </row>
    <row r="78" spans="3:6" x14ac:dyDescent="0.25">
      <c r="C78" s="4" t="s">
        <v>69</v>
      </c>
      <c r="D78" s="18"/>
      <c r="E78" s="18"/>
      <c r="F78" s="18"/>
    </row>
    <row r="79" spans="3:6" x14ac:dyDescent="0.25">
      <c r="C79" s="4" t="s">
        <v>70</v>
      </c>
      <c r="D79" s="18"/>
      <c r="E79" s="18"/>
      <c r="F79" s="18"/>
    </row>
    <row r="80" spans="3:6" x14ac:dyDescent="0.25">
      <c r="C80" s="3" t="s">
        <v>71</v>
      </c>
      <c r="D80" s="17">
        <f>+SUM(D81:D82)</f>
        <v>0</v>
      </c>
      <c r="E80" s="17">
        <f>+SUM(E81:E82)</f>
        <v>0</v>
      </c>
      <c r="F80" s="17">
        <f>+SUM(F81:F82)</f>
        <v>0</v>
      </c>
    </row>
    <row r="81" spans="3:10" x14ac:dyDescent="0.25">
      <c r="C81" s="4" t="s">
        <v>72</v>
      </c>
      <c r="D81" s="18"/>
      <c r="E81" s="18"/>
      <c r="F81" s="18"/>
    </row>
    <row r="82" spans="3:10" x14ac:dyDescent="0.25">
      <c r="C82" s="4" t="s">
        <v>73</v>
      </c>
      <c r="D82" s="18"/>
      <c r="E82" s="18"/>
      <c r="F82" s="18"/>
    </row>
    <row r="83" spans="3:10" x14ac:dyDescent="0.25">
      <c r="C83" s="3" t="s">
        <v>74</v>
      </c>
      <c r="D83" s="17">
        <f>+SUM(D84)</f>
        <v>0</v>
      </c>
      <c r="E83" s="17">
        <f>+SUM(E84)</f>
        <v>0</v>
      </c>
      <c r="F83" s="17">
        <f>+SUM(F84)</f>
        <v>0</v>
      </c>
      <c r="I83" s="18"/>
      <c r="J83" s="18"/>
    </row>
    <row r="84" spans="3:10" x14ac:dyDescent="0.25">
      <c r="C84" s="4" t="s">
        <v>75</v>
      </c>
      <c r="D84" s="18"/>
      <c r="E84" s="18"/>
      <c r="F84" s="18"/>
      <c r="I84" s="18"/>
      <c r="J84" s="18"/>
    </row>
    <row r="85" spans="3:10" x14ac:dyDescent="0.25">
      <c r="C85" s="6" t="s">
        <v>65</v>
      </c>
      <c r="D85" s="28">
        <f>+D76+D11</f>
        <v>195360446</v>
      </c>
      <c r="E85" s="28">
        <f>+E76+E11</f>
        <v>204088005.59999999</v>
      </c>
      <c r="F85" s="28">
        <f>+F76+F11</f>
        <v>52900829.030000001</v>
      </c>
      <c r="G85" s="24"/>
      <c r="H85" s="24"/>
      <c r="I85" s="18"/>
      <c r="J85" s="18"/>
    </row>
    <row r="86" spans="3:10" x14ac:dyDescent="0.25">
      <c r="H86" s="24"/>
      <c r="I86" s="18"/>
      <c r="J86" s="18"/>
    </row>
    <row r="88" spans="3:10" x14ac:dyDescent="0.25">
      <c r="F88" s="24"/>
    </row>
    <row r="89" spans="3:10" x14ac:dyDescent="0.25">
      <c r="F89" s="24"/>
    </row>
    <row r="93" spans="3:10" x14ac:dyDescent="0.25">
      <c r="C93" s="33" t="s">
        <v>95</v>
      </c>
      <c r="D93" s="33"/>
      <c r="E93" s="33"/>
      <c r="F93" s="33"/>
    </row>
    <row r="94" spans="3:10" x14ac:dyDescent="0.25">
      <c r="C94" s="34" t="s">
        <v>96</v>
      </c>
      <c r="D94" s="34"/>
      <c r="E94" s="34"/>
      <c r="F94" s="34"/>
    </row>
    <row r="95" spans="3:10" ht="27.75" customHeight="1" x14ac:dyDescent="0.25">
      <c r="C95" s="35" t="s">
        <v>97</v>
      </c>
      <c r="D95" s="35"/>
      <c r="E95" s="35"/>
      <c r="F95" s="35"/>
    </row>
    <row r="100" spans="5:6" x14ac:dyDescent="0.25">
      <c r="E100" s="24"/>
      <c r="F100" s="24"/>
    </row>
  </sheetData>
  <mergeCells count="12">
    <mergeCell ref="C3:F3"/>
    <mergeCell ref="C93:F93"/>
    <mergeCell ref="C94:F94"/>
    <mergeCell ref="C95:F95"/>
    <mergeCell ref="F9:F10"/>
    <mergeCell ref="C4:F4"/>
    <mergeCell ref="C6:F6"/>
    <mergeCell ref="C5:F5"/>
    <mergeCell ref="C7:F7"/>
    <mergeCell ref="C9:C10"/>
    <mergeCell ref="D9:D10"/>
    <mergeCell ref="E9:E10"/>
  </mergeCells>
  <pageMargins left="0.35433070866141736" right="0.11811023622047245" top="0.74803149606299213" bottom="0.74803149606299213" header="0.31496062992125984" footer="0.31496062992125984"/>
  <pageSetup paperSize="5" scale="63" orientation="portrait" r:id="rId1"/>
  <ignoredErrors>
    <ignoredError sqref="F69:F7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85"/>
  <sheetViews>
    <sheetView showGridLines="0" zoomScaleNormal="100" workbookViewId="0">
      <selection activeCell="C5" sqref="C5:R5"/>
    </sheetView>
  </sheetViews>
  <sheetFormatPr baseColWidth="10" defaultColWidth="11.42578125" defaultRowHeight="15" x14ac:dyDescent="0.25"/>
  <cols>
    <col min="1" max="1" width="2.140625" customWidth="1"/>
    <col min="2" max="2" width="0.7109375" customWidth="1"/>
    <col min="3" max="3" width="88.5703125" customWidth="1"/>
    <col min="4" max="4" width="17.5703125" customWidth="1"/>
    <col min="5" max="5" width="16.7109375" customWidth="1"/>
    <col min="6" max="6" width="13.140625" bestFit="1" customWidth="1"/>
    <col min="7" max="12" width="14.140625" bestFit="1" customWidth="1"/>
    <col min="13" max="13" width="15" customWidth="1"/>
    <col min="18" max="18" width="14.140625" bestFit="1" customWidth="1"/>
  </cols>
  <sheetData>
    <row r="3" spans="3:19" ht="28.5" customHeight="1" x14ac:dyDescent="0.25">
      <c r="C3" s="31" t="s">
        <v>98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19" ht="21" customHeight="1" x14ac:dyDescent="0.25">
      <c r="C4" s="38" t="s">
        <v>99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8">
        <v>2021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</row>
    <row r="6" spans="3:19" ht="15.75" customHeight="1" x14ac:dyDescent="0.25">
      <c r="C6" s="40" t="s">
        <v>92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4" t="s">
        <v>66</v>
      </c>
      <c r="D9" s="36" t="s">
        <v>94</v>
      </c>
      <c r="E9" s="36" t="s">
        <v>93</v>
      </c>
      <c r="F9" s="45" t="s">
        <v>91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4"/>
      <c r="D10" s="37"/>
      <c r="E10" s="37"/>
      <c r="F10" s="12" t="s">
        <v>79</v>
      </c>
      <c r="G10" s="12" t="s">
        <v>80</v>
      </c>
      <c r="H10" s="12" t="s">
        <v>81</v>
      </c>
      <c r="I10" s="12" t="s">
        <v>82</v>
      </c>
      <c r="J10" s="13" t="s">
        <v>83</v>
      </c>
      <c r="K10" s="12" t="s">
        <v>84</v>
      </c>
      <c r="L10" s="13" t="s">
        <v>85</v>
      </c>
      <c r="M10" s="12" t="s">
        <v>86</v>
      </c>
      <c r="N10" s="12" t="s">
        <v>87</v>
      </c>
      <c r="O10" s="12" t="s">
        <v>88</v>
      </c>
      <c r="P10" s="12" t="s">
        <v>89</v>
      </c>
      <c r="Q10" s="13" t="s">
        <v>90</v>
      </c>
      <c r="R10" s="12" t="s">
        <v>78</v>
      </c>
    </row>
    <row r="11" spans="3:19" x14ac:dyDescent="0.25">
      <c r="C11" s="1" t="s">
        <v>0</v>
      </c>
      <c r="D11" s="19">
        <f>+D12+D18+D28+D38+D47+D54+D64+D69+D72</f>
        <v>167360446</v>
      </c>
      <c r="E11" s="19">
        <f>+E12+E18+E28+E38+E47+E54+E64+E69+E72</f>
        <v>196151961.74000001</v>
      </c>
      <c r="F11" s="19">
        <f>+F12+F18+F28+F38+F47+F54+F64+F69+F72</f>
        <v>9473315.7599999998</v>
      </c>
      <c r="G11" s="19">
        <f t="shared" ref="G11:Q11" si="0">+G12+G18+G28+G38+G47+G54+G64+G69+G72</f>
        <v>11373105.120000001</v>
      </c>
      <c r="H11" s="19">
        <f t="shared" si="0"/>
        <v>12241394.35</v>
      </c>
      <c r="I11" s="19">
        <f t="shared" si="0"/>
        <v>20303597.399999999</v>
      </c>
      <c r="J11" s="19">
        <f t="shared" si="0"/>
        <v>10740547.689999999</v>
      </c>
      <c r="K11" s="19">
        <f t="shared" si="0"/>
        <v>11458445.970000001</v>
      </c>
      <c r="L11" s="19">
        <f t="shared" si="0"/>
        <v>10657562.82</v>
      </c>
      <c r="M11" s="19">
        <f t="shared" si="0"/>
        <v>9257678.5199999996</v>
      </c>
      <c r="N11" s="19">
        <f t="shared" si="0"/>
        <v>0</v>
      </c>
      <c r="O11" s="19">
        <f t="shared" si="0"/>
        <v>0</v>
      </c>
      <c r="P11" s="19">
        <f t="shared" si="0"/>
        <v>0</v>
      </c>
      <c r="Q11" s="19">
        <f t="shared" si="0"/>
        <v>0</v>
      </c>
      <c r="R11" s="2">
        <f>+SUM(F11:Q11)</f>
        <v>95505647.63000001</v>
      </c>
    </row>
    <row r="12" spans="3:19" x14ac:dyDescent="0.25">
      <c r="C12" s="3" t="s">
        <v>1</v>
      </c>
      <c r="D12" s="17">
        <f>+SUM(D13:D17)</f>
        <v>124898535</v>
      </c>
      <c r="E12" s="17">
        <f t="shared" ref="E12" si="1">+SUM(E13:E17)</f>
        <v>140398535</v>
      </c>
      <c r="F12" s="17">
        <f t="shared" ref="F12:M12" si="2">+SUM(F13:F17)</f>
        <v>8463890.7599999998</v>
      </c>
      <c r="G12" s="17">
        <f t="shared" si="2"/>
        <v>9076573.0500000007</v>
      </c>
      <c r="H12" s="17">
        <f t="shared" si="2"/>
        <v>9492260.1699999981</v>
      </c>
      <c r="I12" s="17">
        <f t="shared" si="2"/>
        <v>16180630.74</v>
      </c>
      <c r="J12" s="17">
        <f t="shared" si="2"/>
        <v>9542787.9900000002</v>
      </c>
      <c r="K12" s="17">
        <f t="shared" si="2"/>
        <v>8618909.75</v>
      </c>
      <c r="L12" s="17">
        <f t="shared" si="2"/>
        <v>9075738.7100000009</v>
      </c>
      <c r="M12" s="17">
        <f t="shared" si="2"/>
        <v>9257678.5199999996</v>
      </c>
      <c r="R12" s="17">
        <f t="shared" ref="R12" si="3">+SUM(R13:R17)</f>
        <v>79708469.689999998</v>
      </c>
    </row>
    <row r="13" spans="3:19" x14ac:dyDescent="0.25">
      <c r="C13" s="4" t="s">
        <v>2</v>
      </c>
      <c r="D13" s="18">
        <v>99213535</v>
      </c>
      <c r="E13" s="18">
        <v>106213535</v>
      </c>
      <c r="F13" s="20">
        <f>5413623.5+55000+1792200</f>
        <v>7260823.5</v>
      </c>
      <c r="G13" s="18">
        <f>55376.1+66000+1856800+55000+5524168</f>
        <v>7557344.0999999996</v>
      </c>
      <c r="H13" s="24">
        <f>5950368+130000+1356500+47916.67+788340.89</f>
        <v>8273125.5599999996</v>
      </c>
      <c r="I13" s="18">
        <f>5929668+130000+1845100+60000+55154.59</f>
        <v>8019922.5899999999</v>
      </c>
      <c r="J13" s="18">
        <f>5967716.09+65000+1579100</f>
        <v>7611816.0899999999</v>
      </c>
      <c r="K13" s="18">
        <f>5929668+205000+1285800</f>
        <v>7420468</v>
      </c>
      <c r="L13" s="18">
        <f>5898501.33+905000+1014200</f>
        <v>7817701.3300000001</v>
      </c>
      <c r="M13" s="18">
        <v>7893343.3399999999</v>
      </c>
      <c r="R13" s="24">
        <f t="shared" ref="R13:R76" si="4">+SUM(F13:Q13)</f>
        <v>61854544.510000005</v>
      </c>
    </row>
    <row r="14" spans="3:19" x14ac:dyDescent="0.25">
      <c r="C14" s="4" t="s">
        <v>3</v>
      </c>
      <c r="D14" s="18">
        <v>11800000</v>
      </c>
      <c r="E14" s="18">
        <v>20300000</v>
      </c>
      <c r="F14" s="20">
        <v>347500</v>
      </c>
      <c r="G14" s="18">
        <v>347500</v>
      </c>
      <c r="H14" s="18">
        <v>347500</v>
      </c>
      <c r="I14" s="18">
        <f>347500+6723901</f>
        <v>7071401</v>
      </c>
      <c r="J14" s="18">
        <f>331000+710183.67</f>
        <v>1041183.67</v>
      </c>
      <c r="K14" s="18">
        <v>331000</v>
      </c>
      <c r="L14" s="18">
        <v>331000</v>
      </c>
      <c r="M14" s="18">
        <v>271583.33</v>
      </c>
      <c r="R14" s="24">
        <f t="shared" si="4"/>
        <v>10088668</v>
      </c>
    </row>
    <row r="15" spans="3:19" x14ac:dyDescent="0.25">
      <c r="C15" s="4" t="s">
        <v>4</v>
      </c>
      <c r="D15" s="18">
        <v>2604000</v>
      </c>
      <c r="E15" s="18">
        <v>2604000</v>
      </c>
      <c r="F15" s="20">
        <v>0</v>
      </c>
      <c r="G15" s="18">
        <v>300000.15999999997</v>
      </c>
      <c r="H15" s="18">
        <v>0</v>
      </c>
      <c r="I15" s="18">
        <v>150000.07999999999</v>
      </c>
      <c r="J15" s="18"/>
      <c r="K15" s="18"/>
      <c r="L15" s="18">
        <v>0</v>
      </c>
      <c r="R15" s="24">
        <f t="shared" si="4"/>
        <v>450000.24</v>
      </c>
      <c r="S15" s="14"/>
    </row>
    <row r="16" spans="3:19" x14ac:dyDescent="0.25">
      <c r="C16" s="4" t="s">
        <v>5</v>
      </c>
      <c r="D16" s="18">
        <v>0</v>
      </c>
      <c r="E16" s="18">
        <v>0</v>
      </c>
      <c r="F16" s="20">
        <v>0</v>
      </c>
      <c r="G16" s="18"/>
      <c r="H16" s="18">
        <v>0</v>
      </c>
      <c r="I16" s="18"/>
      <c r="J16" s="18"/>
      <c r="K16" s="18"/>
      <c r="L16" s="18">
        <v>0</v>
      </c>
      <c r="R16" s="24">
        <f t="shared" si="4"/>
        <v>0</v>
      </c>
    </row>
    <row r="17" spans="3:18" x14ac:dyDescent="0.25">
      <c r="C17" s="4" t="s">
        <v>6</v>
      </c>
      <c r="D17" s="18">
        <v>11281000</v>
      </c>
      <c r="E17" s="18">
        <v>11281000</v>
      </c>
      <c r="F17" s="20">
        <f>364077.2+455212.24+36277.82</f>
        <v>855567.25999999989</v>
      </c>
      <c r="G17" s="18">
        <f>371571.33+462716.94+37440.52</f>
        <v>871728.79</v>
      </c>
      <c r="H17" s="18">
        <f>371635.14+462780.84+37218.63</f>
        <v>871634.61</v>
      </c>
      <c r="I17" s="18">
        <f>403391.25+496001.74+39914.08</f>
        <v>939307.07</v>
      </c>
      <c r="J17" s="18">
        <f>379923.35+472500.74+37364.14</f>
        <v>889788.23</v>
      </c>
      <c r="K17" s="18">
        <f>369054.38+461616.44+36770.93</f>
        <v>867441.75000000012</v>
      </c>
      <c r="L17" s="18">
        <f>397218.22+489820.01+39999.15</f>
        <v>927037.38</v>
      </c>
      <c r="M17" s="18">
        <v>1092751.8500000001</v>
      </c>
      <c r="R17" s="24">
        <f t="shared" si="4"/>
        <v>7315256.9399999995</v>
      </c>
    </row>
    <row r="18" spans="3:18" x14ac:dyDescent="0.25">
      <c r="C18" s="3" t="s">
        <v>7</v>
      </c>
      <c r="D18" s="17">
        <f>+SUM(D19:D27)</f>
        <v>27601000</v>
      </c>
      <c r="E18" s="17">
        <f>+SUM(E19:E27)</f>
        <v>34936515.740000002</v>
      </c>
      <c r="F18" s="17">
        <f t="shared" ref="F18:M18" si="5">+SUM(F19:F27)</f>
        <v>590425</v>
      </c>
      <c r="G18" s="17">
        <f t="shared" si="5"/>
        <v>2178132.0700000003</v>
      </c>
      <c r="H18" s="17">
        <f t="shared" si="5"/>
        <v>1379934.42</v>
      </c>
      <c r="I18" s="17">
        <f t="shared" si="5"/>
        <v>3726266.2600000002</v>
      </c>
      <c r="J18" s="17">
        <f t="shared" si="5"/>
        <v>1429440.1099999999</v>
      </c>
      <c r="K18" s="17">
        <f t="shared" si="5"/>
        <v>1982760.98</v>
      </c>
      <c r="L18" s="17">
        <f t="shared" si="5"/>
        <v>1549184.9599999997</v>
      </c>
      <c r="M18" s="17">
        <f t="shared" si="5"/>
        <v>0</v>
      </c>
      <c r="R18" s="17">
        <f t="shared" ref="R18" si="6">+SUM(R19:R27)</f>
        <v>12836143.799999999</v>
      </c>
    </row>
    <row r="19" spans="3:18" x14ac:dyDescent="0.25">
      <c r="C19" s="4" t="s">
        <v>8</v>
      </c>
      <c r="D19" s="18">
        <v>3243000</v>
      </c>
      <c r="E19" s="18">
        <v>3243000</v>
      </c>
      <c r="F19" s="20">
        <f>92265.95+5187+211561.74+1725</f>
        <v>310739.69</v>
      </c>
      <c r="G19" s="18">
        <f>32748.7+5524.29+106305.27+1725</f>
        <v>146303.26</v>
      </c>
      <c r="H19" s="18">
        <f>234259.58+1725</f>
        <v>235984.58</v>
      </c>
      <c r="I19" s="18">
        <f>32638.31+16748.98+96653.67+1725</f>
        <v>147765.96</v>
      </c>
      <c r="J19" s="18">
        <f>151607.41+5232.05+109072.05+1725</f>
        <v>267636.51</v>
      </c>
      <c r="K19" s="18">
        <f>91808.44+120686.89+1725</f>
        <v>214220.33000000002</v>
      </c>
      <c r="L19" s="18">
        <f>91915.68+11045.18+121717.48+1725</f>
        <v>226403.33999999997</v>
      </c>
      <c r="R19" s="24">
        <f t="shared" si="4"/>
        <v>1549053.67</v>
      </c>
    </row>
    <row r="20" spans="3:18" x14ac:dyDescent="0.25">
      <c r="C20" s="4" t="s">
        <v>9</v>
      </c>
      <c r="D20" s="18">
        <v>550000</v>
      </c>
      <c r="E20" s="18">
        <v>1050000</v>
      </c>
      <c r="F20" s="20"/>
      <c r="G20" s="18">
        <v>145140</v>
      </c>
      <c r="H20" s="18">
        <f>69772.77+12553.52</f>
        <v>82326.290000000008</v>
      </c>
      <c r="I20" s="18">
        <f>51849.28+33792.25</f>
        <v>85641.53</v>
      </c>
      <c r="J20" s="18">
        <f>2083.33+5855.37</f>
        <v>7938.7</v>
      </c>
      <c r="K20" s="18">
        <v>260051.63</v>
      </c>
      <c r="L20" s="18">
        <v>94243.3</v>
      </c>
      <c r="R20" s="24">
        <f t="shared" si="4"/>
        <v>675341.45000000007</v>
      </c>
    </row>
    <row r="21" spans="3:18" x14ac:dyDescent="0.25">
      <c r="C21" s="4" t="s">
        <v>10</v>
      </c>
      <c r="D21" s="18">
        <v>2100000</v>
      </c>
      <c r="E21" s="18">
        <v>2073000</v>
      </c>
      <c r="F21" s="20"/>
      <c r="G21" s="18"/>
      <c r="H21" s="18"/>
      <c r="I21" s="18"/>
      <c r="J21" s="18"/>
      <c r="K21" s="18"/>
      <c r="L21" s="18">
        <v>0</v>
      </c>
      <c r="R21" s="24">
        <f t="shared" si="4"/>
        <v>0</v>
      </c>
    </row>
    <row r="22" spans="3:18" x14ac:dyDescent="0.25">
      <c r="C22" s="4" t="s">
        <v>11</v>
      </c>
      <c r="D22" s="18">
        <v>2005000</v>
      </c>
      <c r="E22" s="18">
        <v>2005000</v>
      </c>
      <c r="F22" s="20"/>
      <c r="G22" s="18"/>
      <c r="H22" s="18"/>
      <c r="I22" s="18"/>
      <c r="J22" s="18"/>
      <c r="K22" s="18"/>
      <c r="L22" s="18">
        <v>0</v>
      </c>
      <c r="R22" s="24">
        <f t="shared" si="4"/>
        <v>0</v>
      </c>
    </row>
    <row r="23" spans="3:18" x14ac:dyDescent="0.25">
      <c r="C23" s="4" t="s">
        <v>12</v>
      </c>
      <c r="D23" s="18">
        <v>50000</v>
      </c>
      <c r="E23" s="18">
        <v>1443000</v>
      </c>
      <c r="F23" s="20"/>
      <c r="G23" s="18">
        <v>727866.24</v>
      </c>
      <c r="H23" s="18">
        <v>22357.17</v>
      </c>
      <c r="I23" s="18">
        <v>205320</v>
      </c>
      <c r="J23" s="18">
        <v>15222</v>
      </c>
      <c r="K23" s="18"/>
      <c r="L23" s="18">
        <v>0</v>
      </c>
      <c r="R23" s="24">
        <f t="shared" si="4"/>
        <v>970765.41</v>
      </c>
    </row>
    <row r="24" spans="3:18" x14ac:dyDescent="0.25">
      <c r="C24" s="4" t="s">
        <v>13</v>
      </c>
      <c r="D24" s="18">
        <v>8710000</v>
      </c>
      <c r="E24" s="18">
        <v>10110000</v>
      </c>
      <c r="F24" s="20">
        <v>279685.31</v>
      </c>
      <c r="G24" s="18">
        <v>317308.71000000002</v>
      </c>
      <c r="H24" s="18">
        <v>325637.21999999997</v>
      </c>
      <c r="I24" s="18">
        <f>173780.96+2458016.34</f>
        <v>2631797.2999999998</v>
      </c>
      <c r="J24" s="18">
        <v>383672.22</v>
      </c>
      <c r="K24" s="18">
        <v>373786.69</v>
      </c>
      <c r="L24" s="18">
        <f>471096.04+371754.06</f>
        <v>842850.1</v>
      </c>
      <c r="R24" s="24">
        <f t="shared" si="4"/>
        <v>5154737.55</v>
      </c>
    </row>
    <row r="25" spans="3:18" x14ac:dyDescent="0.25">
      <c r="C25" s="4" t="s">
        <v>14</v>
      </c>
      <c r="D25" s="18">
        <v>563000</v>
      </c>
      <c r="E25" s="18">
        <v>585000</v>
      </c>
      <c r="F25" s="21"/>
      <c r="G25" s="18">
        <f>29122.4+18130.7</f>
        <v>47253.100000000006</v>
      </c>
      <c r="H25" s="18">
        <v>38291</v>
      </c>
      <c r="I25" s="18">
        <f>16756+35671.4</f>
        <v>52427.4</v>
      </c>
      <c r="J25" s="18">
        <v>11800</v>
      </c>
      <c r="K25" s="18">
        <f>5900+84488</f>
        <v>90388</v>
      </c>
      <c r="L25" s="18">
        <v>68763.37</v>
      </c>
      <c r="R25" s="24">
        <f t="shared" si="4"/>
        <v>308922.87</v>
      </c>
    </row>
    <row r="26" spans="3:18" x14ac:dyDescent="0.25">
      <c r="C26" s="4" t="s">
        <v>15</v>
      </c>
      <c r="D26" s="18">
        <v>7380000</v>
      </c>
      <c r="E26" s="18">
        <v>11427515.74</v>
      </c>
      <c r="F26" s="20"/>
      <c r="G26" s="25">
        <f>38420.02+23600+135700</f>
        <v>197720.02</v>
      </c>
      <c r="H26" s="25">
        <f>19210.01+23600+198595.94+433932.21</f>
        <v>675338.16</v>
      </c>
      <c r="I26" s="25">
        <f>19210.01+47200+7800+216974</f>
        <v>291184.01</v>
      </c>
      <c r="J26" s="25">
        <f>24627.32+33960.01+238201.15</f>
        <v>296788.47999999998</v>
      </c>
      <c r="K26" s="25">
        <f>19210.01+106576.28+47200+619988.04+404504</f>
        <v>1197478.33</v>
      </c>
      <c r="L26" s="25">
        <f>47200+9000+14039.95</f>
        <v>70239.95</v>
      </c>
      <c r="R26" s="24">
        <f t="shared" si="4"/>
        <v>2728748.95</v>
      </c>
    </row>
    <row r="27" spans="3:18" x14ac:dyDescent="0.25">
      <c r="C27" s="4" t="s">
        <v>16</v>
      </c>
      <c r="D27" s="18">
        <v>3000000</v>
      </c>
      <c r="E27" s="18">
        <v>3000000</v>
      </c>
      <c r="F27" s="20"/>
      <c r="G27" s="18">
        <v>596540.74</v>
      </c>
      <c r="H27" s="18"/>
      <c r="I27" s="18">
        <v>312130.06</v>
      </c>
      <c r="J27" s="18">
        <v>446382.2</v>
      </c>
      <c r="K27" s="18">
        <v>-153164</v>
      </c>
      <c r="L27" s="18">
        <v>246684.9</v>
      </c>
      <c r="R27" s="24">
        <f t="shared" si="4"/>
        <v>1448573.9</v>
      </c>
    </row>
    <row r="28" spans="3:18" x14ac:dyDescent="0.25">
      <c r="C28" s="3" t="s">
        <v>17</v>
      </c>
      <c r="D28" s="17">
        <f>+SUM(D29:D37)</f>
        <v>10299411</v>
      </c>
      <c r="E28" s="17">
        <f>+SUM(E29:E37)</f>
        <v>12905411</v>
      </c>
      <c r="F28" s="17">
        <f>+SUM(F29:F37)</f>
        <v>419000</v>
      </c>
      <c r="G28" s="17">
        <f>+SUM(G29:G37)</f>
        <v>11345</v>
      </c>
      <c r="H28" s="17">
        <f t="shared" ref="H28:L28" si="7">+SUM(H29:H37)</f>
        <v>1029068.98</v>
      </c>
      <c r="I28" s="17">
        <f t="shared" si="7"/>
        <v>348613.19</v>
      </c>
      <c r="J28" s="17">
        <f t="shared" si="7"/>
        <v>69710.8</v>
      </c>
      <c r="K28" s="17">
        <f t="shared" si="7"/>
        <v>341730.24</v>
      </c>
      <c r="L28" s="17">
        <f t="shared" si="7"/>
        <v>169406.65</v>
      </c>
      <c r="R28" s="17">
        <f t="shared" ref="R28" si="8">+SUM(R29:R37)</f>
        <v>2388874.8599999994</v>
      </c>
    </row>
    <row r="29" spans="3:18" x14ac:dyDescent="0.25">
      <c r="C29" s="4" t="s">
        <v>18</v>
      </c>
      <c r="D29" s="18">
        <v>375411</v>
      </c>
      <c r="E29" s="18">
        <v>848311</v>
      </c>
      <c r="F29" s="20"/>
      <c r="G29" s="18">
        <f>5950+3400</f>
        <v>9350</v>
      </c>
      <c r="H29" s="18">
        <f>23800.6+38350</f>
        <v>62150.6</v>
      </c>
      <c r="I29" s="18"/>
      <c r="J29" s="18">
        <f>28340+6372</f>
        <v>34712</v>
      </c>
      <c r="K29" s="18">
        <v>36380.400000000001</v>
      </c>
      <c r="L29" s="18">
        <v>12500</v>
      </c>
      <c r="R29" s="24">
        <f t="shared" si="4"/>
        <v>155093</v>
      </c>
    </row>
    <row r="30" spans="3:18" x14ac:dyDescent="0.25">
      <c r="C30" s="4" t="s">
        <v>19</v>
      </c>
      <c r="D30" s="18">
        <v>130000</v>
      </c>
      <c r="E30" s="18">
        <v>130000</v>
      </c>
      <c r="F30" s="20"/>
      <c r="G30" s="18"/>
      <c r="H30" s="18"/>
      <c r="I30" s="18"/>
      <c r="J30" s="18"/>
      <c r="K30" s="18"/>
      <c r="L30" s="18"/>
      <c r="R30" s="24">
        <f t="shared" si="4"/>
        <v>0</v>
      </c>
    </row>
    <row r="31" spans="3:18" x14ac:dyDescent="0.25">
      <c r="C31" s="4" t="s">
        <v>20</v>
      </c>
      <c r="D31" s="18">
        <v>300000</v>
      </c>
      <c r="E31" s="18">
        <v>300000</v>
      </c>
      <c r="F31" s="20"/>
      <c r="G31" s="18">
        <v>1995</v>
      </c>
      <c r="H31" s="18">
        <f>12744+20801.72+6088.8</f>
        <v>39634.520000000004</v>
      </c>
      <c r="I31" s="18">
        <f>1799.1+4566.59+17360</f>
        <v>23725.690000000002</v>
      </c>
      <c r="J31" s="18"/>
      <c r="K31" s="18">
        <f>12744+44506.98+3304</f>
        <v>60554.98</v>
      </c>
      <c r="L31" s="18"/>
      <c r="R31" s="24">
        <f t="shared" si="4"/>
        <v>125910.19</v>
      </c>
    </row>
    <row r="32" spans="3:18" x14ac:dyDescent="0.25">
      <c r="C32" s="4" t="s">
        <v>21</v>
      </c>
      <c r="D32" s="18">
        <v>0</v>
      </c>
      <c r="E32" s="18">
        <v>0</v>
      </c>
      <c r="F32" s="20"/>
      <c r="G32" s="18"/>
      <c r="H32" s="18"/>
      <c r="I32" s="18"/>
      <c r="J32" s="18"/>
      <c r="K32" s="18"/>
      <c r="L32" s="18"/>
      <c r="R32" s="24">
        <f t="shared" si="4"/>
        <v>0</v>
      </c>
    </row>
    <row r="33" spans="3:18" x14ac:dyDescent="0.25">
      <c r="C33" s="4" t="s">
        <v>22</v>
      </c>
      <c r="D33" s="18">
        <v>100000</v>
      </c>
      <c r="E33" s="18">
        <v>100000</v>
      </c>
      <c r="F33" s="20"/>
      <c r="G33" s="18"/>
      <c r="H33" s="18">
        <v>4248</v>
      </c>
      <c r="I33" s="18"/>
      <c r="J33" s="18">
        <v>22136.799999999999</v>
      </c>
      <c r="K33" s="18">
        <v>5717.1</v>
      </c>
      <c r="L33" s="18"/>
      <c r="R33" s="24">
        <f t="shared" si="4"/>
        <v>32101.9</v>
      </c>
    </row>
    <row r="34" spans="3:18" x14ac:dyDescent="0.25">
      <c r="C34" s="4" t="s">
        <v>23</v>
      </c>
      <c r="D34" s="18">
        <v>134250</v>
      </c>
      <c r="E34" s="18">
        <v>109250</v>
      </c>
      <c r="F34" s="20"/>
      <c r="G34" s="18"/>
      <c r="H34" s="18"/>
      <c r="I34" s="18"/>
      <c r="J34" s="18">
        <v>2832</v>
      </c>
      <c r="K34" s="18"/>
      <c r="L34" s="18"/>
      <c r="R34" s="24">
        <f t="shared" si="4"/>
        <v>2832</v>
      </c>
    </row>
    <row r="35" spans="3:18" x14ac:dyDescent="0.25">
      <c r="C35" s="4" t="s">
        <v>24</v>
      </c>
      <c r="D35" s="18">
        <v>5720000</v>
      </c>
      <c r="E35" s="18">
        <v>6320000</v>
      </c>
      <c r="F35" s="21">
        <v>419000</v>
      </c>
      <c r="G35" s="26"/>
      <c r="H35" s="26">
        <f>828000+8563.5+1770</f>
        <v>838333.5</v>
      </c>
      <c r="I35" s="26">
        <f>316000+8887.5</f>
        <v>324887.5</v>
      </c>
      <c r="J35" s="26"/>
      <c r="K35" s="26">
        <f>158086.63+9935</f>
        <v>168021.63</v>
      </c>
      <c r="L35" s="26">
        <v>130238.65</v>
      </c>
      <c r="R35" s="24">
        <f t="shared" si="4"/>
        <v>1880481.2799999998</v>
      </c>
    </row>
    <row r="36" spans="3:18" x14ac:dyDescent="0.25">
      <c r="C36" s="4" t="s">
        <v>25</v>
      </c>
      <c r="D36" s="18">
        <v>0</v>
      </c>
      <c r="E36" s="18">
        <v>0</v>
      </c>
      <c r="F36" s="20"/>
      <c r="G36" s="18"/>
      <c r="H36" s="18"/>
      <c r="I36" s="18"/>
      <c r="J36" s="18"/>
      <c r="K36" s="18"/>
      <c r="L36" s="18"/>
      <c r="R36" s="24">
        <f t="shared" si="4"/>
        <v>0</v>
      </c>
    </row>
    <row r="37" spans="3:18" x14ac:dyDescent="0.25">
      <c r="C37" s="4" t="s">
        <v>26</v>
      </c>
      <c r="D37" s="18">
        <v>3539750</v>
      </c>
      <c r="E37" s="18">
        <v>5097850</v>
      </c>
      <c r="F37" s="20"/>
      <c r="G37" s="18"/>
      <c r="H37" s="18">
        <f>22854.8+12922.85+31339.1+17585.61</f>
        <v>84702.36</v>
      </c>
      <c r="I37" s="18"/>
      <c r="J37" s="18">
        <v>10030</v>
      </c>
      <c r="K37" s="18">
        <f>45466.42+18180.71+7409</f>
        <v>71056.13</v>
      </c>
      <c r="L37" s="18">
        <f>19234+7434</f>
        <v>26668</v>
      </c>
      <c r="R37" s="24">
        <f t="shared" si="4"/>
        <v>192456.49</v>
      </c>
    </row>
    <row r="38" spans="3:18" x14ac:dyDescent="0.25">
      <c r="C38" s="3" t="s">
        <v>27</v>
      </c>
      <c r="D38" s="17">
        <f>+SUM(D39:D46)</f>
        <v>1400000</v>
      </c>
      <c r="E38" s="17">
        <f>+SUM(E39:E46)</f>
        <v>3400000</v>
      </c>
      <c r="F38" s="17">
        <f t="shared" ref="F38:L38" si="9">+SUM(F39:F45)</f>
        <v>0</v>
      </c>
      <c r="G38" s="17">
        <f t="shared" si="9"/>
        <v>107055</v>
      </c>
      <c r="H38" s="17">
        <f t="shared" si="9"/>
        <v>334136.38</v>
      </c>
      <c r="I38" s="17">
        <f t="shared" si="9"/>
        <v>29984.83</v>
      </c>
      <c r="J38" s="17">
        <f t="shared" si="9"/>
        <v>-301391.21000000002</v>
      </c>
      <c r="K38" s="17">
        <f t="shared" si="9"/>
        <v>515045</v>
      </c>
      <c r="L38" s="17">
        <f t="shared" si="9"/>
        <v>-136767.5</v>
      </c>
      <c r="R38" s="17">
        <f t="shared" ref="R38" si="10">+SUM(R39:R45)</f>
        <v>548062.5</v>
      </c>
    </row>
    <row r="39" spans="3:18" x14ac:dyDescent="0.25">
      <c r="C39" s="4" t="s">
        <v>28</v>
      </c>
      <c r="D39" s="18">
        <v>1400000</v>
      </c>
      <c r="E39" s="18">
        <v>3400000</v>
      </c>
      <c r="F39" s="18"/>
      <c r="G39" s="18">
        <f>12500+94555</f>
        <v>107055</v>
      </c>
      <c r="H39" s="18">
        <v>334136.38</v>
      </c>
      <c r="I39" s="18">
        <v>29984.83</v>
      </c>
      <c r="J39" s="18">
        <v>-301391.21000000002</v>
      </c>
      <c r="K39" s="18">
        <f>232545+282500</f>
        <v>515045</v>
      </c>
      <c r="L39" s="18">
        <f>145732.5-282500</f>
        <v>-136767.5</v>
      </c>
      <c r="R39" s="24">
        <f t="shared" si="4"/>
        <v>548062.5</v>
      </c>
    </row>
    <row r="40" spans="3:18" x14ac:dyDescent="0.25">
      <c r="C40" s="4" t="s">
        <v>29</v>
      </c>
      <c r="D40" s="18"/>
      <c r="E40" s="18"/>
      <c r="F40" s="22"/>
      <c r="G40" s="22"/>
      <c r="H40" s="22"/>
      <c r="I40" s="22"/>
      <c r="J40" s="22"/>
      <c r="K40" s="22"/>
      <c r="L40" s="18"/>
      <c r="R40" s="24">
        <f t="shared" si="4"/>
        <v>0</v>
      </c>
    </row>
    <row r="41" spans="3:18" x14ac:dyDescent="0.25">
      <c r="C41" s="4" t="s">
        <v>30</v>
      </c>
      <c r="D41" s="18"/>
      <c r="E41" s="18"/>
      <c r="F41" s="22"/>
      <c r="G41" s="22"/>
      <c r="H41" s="22"/>
      <c r="I41" s="22"/>
      <c r="J41" s="22"/>
      <c r="K41" s="22"/>
      <c r="L41" s="18"/>
      <c r="R41" s="24">
        <f t="shared" si="4"/>
        <v>0</v>
      </c>
    </row>
    <row r="42" spans="3:18" x14ac:dyDescent="0.25">
      <c r="C42" s="4" t="s">
        <v>31</v>
      </c>
      <c r="D42" s="18"/>
      <c r="E42" s="18"/>
      <c r="F42" s="22"/>
      <c r="G42" s="22"/>
      <c r="H42" s="22"/>
      <c r="I42" s="22"/>
      <c r="J42" s="22"/>
      <c r="K42" s="22"/>
      <c r="L42" s="18"/>
      <c r="R42" s="24">
        <f t="shared" si="4"/>
        <v>0</v>
      </c>
    </row>
    <row r="43" spans="3:18" x14ac:dyDescent="0.25">
      <c r="C43" s="4" t="s">
        <v>32</v>
      </c>
      <c r="D43" s="18"/>
      <c r="E43" s="18"/>
      <c r="F43" s="22"/>
      <c r="G43" s="22"/>
      <c r="H43" s="22"/>
      <c r="I43" s="22"/>
      <c r="J43" s="22"/>
      <c r="K43" s="22"/>
      <c r="L43" s="18"/>
      <c r="R43" s="24">
        <f t="shared" si="4"/>
        <v>0</v>
      </c>
    </row>
    <row r="44" spans="3:18" x14ac:dyDescent="0.25">
      <c r="C44" s="4" t="s">
        <v>33</v>
      </c>
      <c r="D44" s="18"/>
      <c r="E44" s="18"/>
      <c r="F44" s="22"/>
      <c r="G44" s="22"/>
      <c r="H44" s="22"/>
      <c r="I44" s="22"/>
      <c r="J44" s="22"/>
      <c r="K44" s="22"/>
      <c r="L44" s="18"/>
      <c r="R44" s="24">
        <f t="shared" si="4"/>
        <v>0</v>
      </c>
    </row>
    <row r="45" spans="3:18" x14ac:dyDescent="0.25">
      <c r="C45" s="4" t="s">
        <v>34</v>
      </c>
      <c r="D45" s="18"/>
      <c r="E45" s="18"/>
      <c r="F45" s="22"/>
      <c r="G45" s="22"/>
      <c r="H45" s="22"/>
      <c r="I45" s="22"/>
      <c r="J45" s="22"/>
      <c r="K45" s="22"/>
      <c r="L45" s="18"/>
      <c r="R45" s="24">
        <f t="shared" si="4"/>
        <v>0</v>
      </c>
    </row>
    <row r="46" spans="3:18" x14ac:dyDescent="0.25">
      <c r="C46" s="4" t="s">
        <v>35</v>
      </c>
      <c r="D46" s="18"/>
      <c r="E46" s="18"/>
      <c r="F46" s="17"/>
      <c r="G46" s="17"/>
      <c r="H46" s="17"/>
      <c r="I46" s="17"/>
      <c r="J46" s="17"/>
      <c r="K46" s="17"/>
      <c r="L46" s="18"/>
      <c r="R46" s="24">
        <f t="shared" si="4"/>
        <v>0</v>
      </c>
    </row>
    <row r="47" spans="3:18" x14ac:dyDescent="0.25">
      <c r="C47" s="3" t="s">
        <v>36</v>
      </c>
      <c r="D47" s="17">
        <f>+SUM(D48:D53)</f>
        <v>0</v>
      </c>
      <c r="E47" s="17">
        <f>+SUM(E48:E53)</f>
        <v>0</v>
      </c>
      <c r="F47" s="22"/>
      <c r="G47" s="22"/>
      <c r="H47" s="22"/>
      <c r="I47" s="22"/>
      <c r="J47" s="22"/>
      <c r="K47" s="22"/>
      <c r="L47" s="18"/>
      <c r="R47" s="24">
        <f t="shared" si="4"/>
        <v>0</v>
      </c>
    </row>
    <row r="48" spans="3:18" x14ac:dyDescent="0.25">
      <c r="C48" s="4" t="s">
        <v>37</v>
      </c>
      <c r="D48" s="18"/>
      <c r="E48" s="18"/>
      <c r="F48" s="22"/>
      <c r="G48" s="22"/>
      <c r="H48" s="22"/>
      <c r="I48" s="22"/>
      <c r="J48" s="22"/>
      <c r="K48" s="22"/>
      <c r="L48" s="18"/>
      <c r="R48" s="24">
        <f t="shared" si="4"/>
        <v>0</v>
      </c>
    </row>
    <row r="49" spans="3:18" x14ac:dyDescent="0.25">
      <c r="C49" s="4" t="s">
        <v>38</v>
      </c>
      <c r="D49" s="18"/>
      <c r="E49" s="18"/>
      <c r="F49" s="22"/>
      <c r="G49" s="22"/>
      <c r="H49" s="22"/>
      <c r="I49" s="22"/>
      <c r="J49" s="22"/>
      <c r="K49" s="22"/>
      <c r="L49" s="18"/>
      <c r="R49" s="24">
        <f t="shared" si="4"/>
        <v>0</v>
      </c>
    </row>
    <row r="50" spans="3:18" x14ac:dyDescent="0.25">
      <c r="C50" s="4" t="s">
        <v>39</v>
      </c>
      <c r="D50" s="18"/>
      <c r="E50" s="18"/>
      <c r="F50" s="22"/>
      <c r="G50" s="22"/>
      <c r="H50" s="22"/>
      <c r="I50" s="22"/>
      <c r="J50" s="22"/>
      <c r="K50" s="22"/>
      <c r="L50" s="18"/>
      <c r="R50" s="24">
        <f t="shared" si="4"/>
        <v>0</v>
      </c>
    </row>
    <row r="51" spans="3:18" x14ac:dyDescent="0.25">
      <c r="C51" s="4" t="s">
        <v>40</v>
      </c>
      <c r="D51" s="18"/>
      <c r="E51" s="18"/>
      <c r="F51" s="22"/>
      <c r="G51" s="22"/>
      <c r="H51" s="22"/>
      <c r="I51" s="22"/>
      <c r="J51" s="22"/>
      <c r="K51" s="22"/>
      <c r="L51" s="18"/>
      <c r="R51" s="24">
        <f t="shared" si="4"/>
        <v>0</v>
      </c>
    </row>
    <row r="52" spans="3:18" x14ac:dyDescent="0.25">
      <c r="C52" s="4" t="s">
        <v>41</v>
      </c>
      <c r="D52" s="18"/>
      <c r="E52" s="18"/>
      <c r="F52" s="22"/>
      <c r="G52" s="22"/>
      <c r="H52" s="22"/>
      <c r="I52" s="22"/>
      <c r="J52" s="22"/>
      <c r="K52" s="22"/>
      <c r="L52" s="18"/>
      <c r="R52" s="24">
        <f t="shared" si="4"/>
        <v>0</v>
      </c>
    </row>
    <row r="53" spans="3:18" x14ac:dyDescent="0.25">
      <c r="C53" s="4" t="s">
        <v>42</v>
      </c>
      <c r="D53" s="18"/>
      <c r="E53" s="18"/>
      <c r="F53" s="22"/>
      <c r="G53" s="22"/>
      <c r="H53" s="22"/>
      <c r="I53" s="22"/>
      <c r="J53" s="22"/>
      <c r="K53" s="22"/>
      <c r="L53" s="18"/>
      <c r="R53" s="24">
        <f t="shared" si="4"/>
        <v>0</v>
      </c>
    </row>
    <row r="54" spans="3:18" x14ac:dyDescent="0.25">
      <c r="C54" s="3" t="s">
        <v>43</v>
      </c>
      <c r="D54" s="17">
        <f>+SUM(D55:D63)</f>
        <v>1161500</v>
      </c>
      <c r="E54" s="17">
        <f>+SUM(E55:E63)</f>
        <v>511500</v>
      </c>
      <c r="F54" s="17">
        <f t="shared" ref="F54:L54" si="11">+SUM(F55:F63)</f>
        <v>0</v>
      </c>
      <c r="G54" s="17">
        <f t="shared" si="11"/>
        <v>0</v>
      </c>
      <c r="H54" s="17">
        <f t="shared" si="11"/>
        <v>5994.4</v>
      </c>
      <c r="I54" s="17">
        <f t="shared" si="11"/>
        <v>18102.379999999997</v>
      </c>
      <c r="J54" s="17">
        <f t="shared" si="11"/>
        <v>0</v>
      </c>
      <c r="K54" s="17">
        <f t="shared" si="11"/>
        <v>0</v>
      </c>
      <c r="L54" s="17">
        <f t="shared" si="11"/>
        <v>0</v>
      </c>
      <c r="R54" s="17">
        <f t="shared" ref="R54" si="12">+SUM(R55:R63)</f>
        <v>24096.78</v>
      </c>
    </row>
    <row r="55" spans="3:18" x14ac:dyDescent="0.25">
      <c r="C55" s="4" t="s">
        <v>44</v>
      </c>
      <c r="D55" s="18">
        <v>491500</v>
      </c>
      <c r="E55" s="18">
        <v>491500</v>
      </c>
      <c r="F55" s="23"/>
      <c r="G55" s="23"/>
      <c r="H55" s="23">
        <v>5994.4</v>
      </c>
      <c r="I55" s="23">
        <f>12025.38+6077</f>
        <v>18102.379999999997</v>
      </c>
      <c r="J55" s="23"/>
      <c r="K55" s="23"/>
      <c r="L55" s="27"/>
      <c r="R55" s="24">
        <f t="shared" si="4"/>
        <v>24096.78</v>
      </c>
    </row>
    <row r="56" spans="3:18" x14ac:dyDescent="0.25">
      <c r="C56" s="4" t="s">
        <v>45</v>
      </c>
      <c r="D56" s="18"/>
      <c r="E56" s="18"/>
      <c r="F56" s="23"/>
      <c r="G56" s="23"/>
      <c r="H56" s="23"/>
      <c r="I56" s="23"/>
      <c r="J56" s="23"/>
      <c r="K56" s="23"/>
      <c r="L56" s="27"/>
      <c r="R56" s="24">
        <f t="shared" si="4"/>
        <v>0</v>
      </c>
    </row>
    <row r="57" spans="3:18" x14ac:dyDescent="0.25">
      <c r="C57" s="4" t="s">
        <v>46</v>
      </c>
      <c r="D57" s="18"/>
      <c r="E57" s="18"/>
      <c r="F57" s="23"/>
      <c r="G57" s="23"/>
      <c r="H57" s="23"/>
      <c r="I57" s="23"/>
      <c r="J57" s="23"/>
      <c r="K57" s="23"/>
      <c r="L57" s="27"/>
      <c r="R57" s="24">
        <f t="shared" si="4"/>
        <v>0</v>
      </c>
    </row>
    <row r="58" spans="3:18" x14ac:dyDescent="0.25">
      <c r="C58" s="4" t="s">
        <v>47</v>
      </c>
      <c r="D58" s="18"/>
      <c r="E58" s="18"/>
      <c r="F58" s="23"/>
      <c r="G58" s="23"/>
      <c r="H58" s="23"/>
      <c r="I58" s="23"/>
      <c r="J58" s="23"/>
      <c r="K58" s="23"/>
      <c r="L58" s="27"/>
      <c r="R58" s="24">
        <f t="shared" si="4"/>
        <v>0</v>
      </c>
    </row>
    <row r="59" spans="3:18" x14ac:dyDescent="0.25">
      <c r="C59" s="4" t="s">
        <v>48</v>
      </c>
      <c r="D59" s="18">
        <v>20000</v>
      </c>
      <c r="E59" s="18">
        <v>20000</v>
      </c>
      <c r="F59" s="23"/>
      <c r="G59" s="23"/>
      <c r="H59" s="23"/>
      <c r="I59" s="23"/>
      <c r="J59" s="23"/>
      <c r="K59" s="23"/>
      <c r="L59" s="27"/>
      <c r="R59" s="24">
        <f t="shared" si="4"/>
        <v>0</v>
      </c>
    </row>
    <row r="60" spans="3:18" x14ac:dyDescent="0.25">
      <c r="C60" s="4" t="s">
        <v>49</v>
      </c>
      <c r="D60" s="18"/>
      <c r="E60" s="18"/>
      <c r="F60" s="23"/>
      <c r="G60" s="23"/>
      <c r="H60" s="23"/>
      <c r="I60" s="23"/>
      <c r="J60" s="23"/>
      <c r="K60" s="23"/>
      <c r="L60" s="27"/>
      <c r="R60" s="24">
        <f t="shared" si="4"/>
        <v>0</v>
      </c>
    </row>
    <row r="61" spans="3:18" x14ac:dyDescent="0.25">
      <c r="C61" s="4" t="s">
        <v>50</v>
      </c>
      <c r="D61" s="18"/>
      <c r="E61" s="18"/>
      <c r="F61" s="23"/>
      <c r="G61" s="23"/>
      <c r="H61" s="23"/>
      <c r="I61" s="23"/>
      <c r="J61" s="23"/>
      <c r="K61" s="23"/>
      <c r="L61" s="27"/>
      <c r="R61" s="24">
        <f t="shared" si="4"/>
        <v>0</v>
      </c>
    </row>
    <row r="62" spans="3:18" x14ac:dyDescent="0.25">
      <c r="C62" s="4" t="s">
        <v>51</v>
      </c>
      <c r="D62" s="18">
        <v>650000</v>
      </c>
      <c r="E62" s="18">
        <v>0</v>
      </c>
      <c r="F62" s="23"/>
      <c r="G62" s="23"/>
      <c r="H62" s="23"/>
      <c r="I62" s="23"/>
      <c r="J62" s="23"/>
      <c r="K62" s="23"/>
      <c r="L62" s="27"/>
      <c r="R62" s="24">
        <f t="shared" si="4"/>
        <v>0</v>
      </c>
    </row>
    <row r="63" spans="3:18" x14ac:dyDescent="0.25">
      <c r="C63" s="4" t="s">
        <v>52</v>
      </c>
      <c r="D63" s="18"/>
      <c r="E63" s="18"/>
      <c r="F63" s="23"/>
      <c r="G63" s="23"/>
      <c r="H63" s="23"/>
      <c r="I63" s="23"/>
      <c r="J63" s="23"/>
      <c r="K63" s="23"/>
      <c r="L63" s="27"/>
      <c r="R63" s="24">
        <f t="shared" si="4"/>
        <v>0</v>
      </c>
    </row>
    <row r="64" spans="3:18" x14ac:dyDescent="0.25">
      <c r="C64" s="3" t="s">
        <v>53</v>
      </c>
      <c r="D64" s="17">
        <f>+SUM(D65:D68)</f>
        <v>2000000</v>
      </c>
      <c r="E64" s="17">
        <f>+SUM(E65:E68)</f>
        <v>4000000</v>
      </c>
      <c r="F64" s="17">
        <f t="shared" ref="F64:R64" si="13">+SUM(F65:F68)</f>
        <v>0</v>
      </c>
      <c r="G64" s="17">
        <f t="shared" si="13"/>
        <v>0</v>
      </c>
      <c r="H64" s="17">
        <f t="shared" si="13"/>
        <v>0</v>
      </c>
      <c r="I64" s="17">
        <f t="shared" si="13"/>
        <v>0</v>
      </c>
      <c r="J64" s="17">
        <f t="shared" si="13"/>
        <v>0</v>
      </c>
      <c r="K64" s="17">
        <f t="shared" si="13"/>
        <v>0</v>
      </c>
      <c r="L64" s="17">
        <f t="shared" si="13"/>
        <v>0</v>
      </c>
      <c r="M64" s="17">
        <f t="shared" si="13"/>
        <v>0</v>
      </c>
      <c r="N64" s="17">
        <f t="shared" si="13"/>
        <v>0</v>
      </c>
      <c r="O64" s="17">
        <f t="shared" si="13"/>
        <v>0</v>
      </c>
      <c r="P64" s="17">
        <f t="shared" si="13"/>
        <v>0</v>
      </c>
      <c r="Q64" s="17">
        <f t="shared" si="13"/>
        <v>0</v>
      </c>
      <c r="R64" s="17">
        <f t="shared" si="13"/>
        <v>0</v>
      </c>
    </row>
    <row r="65" spans="3:18" x14ac:dyDescent="0.25">
      <c r="C65" s="4" t="s">
        <v>54</v>
      </c>
      <c r="D65" s="18">
        <v>2000000</v>
      </c>
      <c r="E65" s="18">
        <v>4000000</v>
      </c>
      <c r="F65" s="23"/>
      <c r="G65" s="23"/>
      <c r="H65" s="23"/>
      <c r="I65" s="23"/>
      <c r="J65" s="23"/>
      <c r="K65" s="23"/>
      <c r="L65" s="18"/>
      <c r="R65" s="24">
        <f t="shared" si="4"/>
        <v>0</v>
      </c>
    </row>
    <row r="66" spans="3:18" x14ac:dyDescent="0.25">
      <c r="C66" s="4" t="s">
        <v>55</v>
      </c>
      <c r="D66" s="18"/>
      <c r="E66" s="18"/>
      <c r="F66" s="23"/>
      <c r="G66" s="23"/>
      <c r="H66" s="23"/>
      <c r="I66" s="23"/>
      <c r="J66" s="23"/>
      <c r="K66" s="23"/>
      <c r="L66" s="18"/>
      <c r="R66" s="24">
        <f t="shared" si="4"/>
        <v>0</v>
      </c>
    </row>
    <row r="67" spans="3:18" x14ac:dyDescent="0.25">
      <c r="C67" s="4" t="s">
        <v>56</v>
      </c>
      <c r="D67" s="18"/>
      <c r="E67" s="18"/>
      <c r="F67" s="23"/>
      <c r="G67" s="23"/>
      <c r="H67" s="23"/>
      <c r="I67" s="23"/>
      <c r="J67" s="23"/>
      <c r="K67" s="23"/>
      <c r="L67" s="18"/>
      <c r="R67" s="24">
        <f t="shared" si="4"/>
        <v>0</v>
      </c>
    </row>
    <row r="68" spans="3:18" x14ac:dyDescent="0.25">
      <c r="C68" s="4" t="s">
        <v>57</v>
      </c>
      <c r="D68" s="18"/>
      <c r="E68" s="18"/>
      <c r="F68" s="23"/>
      <c r="G68" s="23"/>
      <c r="H68" s="23"/>
      <c r="I68" s="23"/>
      <c r="J68" s="23"/>
      <c r="K68" s="23"/>
      <c r="L68" s="18"/>
      <c r="R68" s="24">
        <f t="shared" si="4"/>
        <v>0</v>
      </c>
    </row>
    <row r="69" spans="3:18" x14ac:dyDescent="0.25">
      <c r="C69" s="3" t="s">
        <v>58</v>
      </c>
      <c r="D69" s="17">
        <f>+SUM(D70:D71)</f>
        <v>0</v>
      </c>
      <c r="E69" s="17">
        <f>+SUM(E70:E71)</f>
        <v>0</v>
      </c>
      <c r="F69" s="17"/>
      <c r="G69" s="17"/>
      <c r="H69" s="17"/>
      <c r="I69" s="17"/>
      <c r="J69" s="17"/>
      <c r="K69" s="17"/>
      <c r="L69" s="18"/>
      <c r="R69" s="24">
        <f t="shared" si="4"/>
        <v>0</v>
      </c>
    </row>
    <row r="70" spans="3:18" x14ac:dyDescent="0.25">
      <c r="C70" s="4" t="s">
        <v>59</v>
      </c>
      <c r="D70" s="18"/>
      <c r="E70" s="18"/>
      <c r="F70" s="23"/>
      <c r="G70" s="23"/>
      <c r="H70" s="23"/>
      <c r="I70" s="23"/>
      <c r="J70" s="23"/>
      <c r="K70" s="23"/>
      <c r="L70" s="18"/>
      <c r="R70" s="24">
        <f t="shared" si="4"/>
        <v>0</v>
      </c>
    </row>
    <row r="71" spans="3:18" x14ac:dyDescent="0.25">
      <c r="C71" s="4" t="s">
        <v>60</v>
      </c>
      <c r="D71" s="18"/>
      <c r="E71" s="18"/>
      <c r="F71" s="23"/>
      <c r="G71" s="23"/>
      <c r="H71" s="23"/>
      <c r="I71" s="23"/>
      <c r="J71" s="23"/>
      <c r="K71" s="23"/>
      <c r="L71" s="18"/>
      <c r="R71" s="24">
        <f t="shared" si="4"/>
        <v>0</v>
      </c>
    </row>
    <row r="72" spans="3:18" x14ac:dyDescent="0.25">
      <c r="C72" s="3" t="s">
        <v>61</v>
      </c>
      <c r="D72" s="17">
        <f>+SUM(D73:D75)</f>
        <v>0</v>
      </c>
      <c r="E72" s="17">
        <f>+SUM(E73:E75)</f>
        <v>0</v>
      </c>
      <c r="F72" s="17"/>
      <c r="G72" s="17"/>
      <c r="H72" s="17"/>
      <c r="I72" s="17"/>
      <c r="J72" s="17"/>
      <c r="K72" s="17"/>
      <c r="L72" s="18"/>
      <c r="R72" s="24">
        <f t="shared" si="4"/>
        <v>0</v>
      </c>
    </row>
    <row r="73" spans="3:18" x14ac:dyDescent="0.25">
      <c r="C73" s="4" t="s">
        <v>62</v>
      </c>
      <c r="D73" s="18"/>
      <c r="E73" s="18"/>
      <c r="F73" s="23"/>
      <c r="G73" s="23"/>
      <c r="H73" s="23"/>
      <c r="I73" s="23"/>
      <c r="J73" s="23"/>
      <c r="K73" s="23"/>
      <c r="L73" s="18"/>
      <c r="R73" s="24">
        <f t="shared" si="4"/>
        <v>0</v>
      </c>
    </row>
    <row r="74" spans="3:18" x14ac:dyDescent="0.25">
      <c r="C74" s="4" t="s">
        <v>63</v>
      </c>
      <c r="D74" s="18"/>
      <c r="E74" s="18"/>
      <c r="F74" s="23">
        <v>0</v>
      </c>
      <c r="R74" s="24">
        <f t="shared" si="4"/>
        <v>0</v>
      </c>
    </row>
    <row r="75" spans="3:18" x14ac:dyDescent="0.25">
      <c r="C75" s="4" t="s">
        <v>64</v>
      </c>
      <c r="D75" s="18"/>
      <c r="E75" s="18"/>
      <c r="F75" s="23">
        <v>0</v>
      </c>
      <c r="R75" s="24">
        <f t="shared" si="4"/>
        <v>0</v>
      </c>
    </row>
    <row r="76" spans="3:18" x14ac:dyDescent="0.25">
      <c r="C76" s="1" t="s">
        <v>67</v>
      </c>
      <c r="D76" s="19">
        <f>+D77+D80+D83</f>
        <v>0</v>
      </c>
      <c r="E76" s="19">
        <f>+E77+E80+E83</f>
        <v>0</v>
      </c>
      <c r="F76" s="19">
        <f>+F77+F80+F83</f>
        <v>0</v>
      </c>
      <c r="G76" s="19">
        <f t="shared" ref="G76:Q76" si="14">+G77+G80+G83</f>
        <v>0</v>
      </c>
      <c r="H76" s="19">
        <f t="shared" si="14"/>
        <v>0</v>
      </c>
      <c r="I76" s="19">
        <f t="shared" si="14"/>
        <v>0</v>
      </c>
      <c r="J76" s="19">
        <f t="shared" si="14"/>
        <v>0</v>
      </c>
      <c r="K76" s="19">
        <f t="shared" si="14"/>
        <v>0</v>
      </c>
      <c r="L76" s="19">
        <f t="shared" si="14"/>
        <v>0</v>
      </c>
      <c r="M76" s="19">
        <f t="shared" si="14"/>
        <v>0</v>
      </c>
      <c r="N76" s="19">
        <f t="shared" si="14"/>
        <v>0</v>
      </c>
      <c r="O76" s="19">
        <f t="shared" si="14"/>
        <v>0</v>
      </c>
      <c r="P76" s="19">
        <f t="shared" si="14"/>
        <v>0</v>
      </c>
      <c r="Q76" s="19">
        <f t="shared" si="14"/>
        <v>0</v>
      </c>
      <c r="R76" s="24">
        <f t="shared" si="4"/>
        <v>0</v>
      </c>
    </row>
    <row r="77" spans="3:18" x14ac:dyDescent="0.25">
      <c r="C77" s="3" t="s">
        <v>68</v>
      </c>
      <c r="D77" s="17">
        <f>+SUM(D78:D79)</f>
        <v>0</v>
      </c>
      <c r="E77" s="17">
        <f>+SUM(E78:E79)</f>
        <v>0</v>
      </c>
      <c r="F77" s="17">
        <f>+SUM(F78:F79)</f>
        <v>0</v>
      </c>
      <c r="G77" s="17">
        <f t="shared" ref="G77:Q77" si="15">+SUM(G78:G79)</f>
        <v>0</v>
      </c>
      <c r="H77" s="17">
        <f t="shared" si="15"/>
        <v>0</v>
      </c>
      <c r="I77" s="17">
        <f t="shared" si="15"/>
        <v>0</v>
      </c>
      <c r="J77" s="17">
        <f t="shared" si="15"/>
        <v>0</v>
      </c>
      <c r="K77" s="17">
        <f t="shared" si="15"/>
        <v>0</v>
      </c>
      <c r="L77" s="17">
        <f t="shared" si="15"/>
        <v>0</v>
      </c>
      <c r="M77" s="17">
        <f t="shared" si="15"/>
        <v>0</v>
      </c>
      <c r="N77" s="17">
        <f t="shared" si="15"/>
        <v>0</v>
      </c>
      <c r="O77" s="17">
        <f t="shared" si="15"/>
        <v>0</v>
      </c>
      <c r="P77" s="17">
        <f t="shared" si="15"/>
        <v>0</v>
      </c>
      <c r="Q77" s="17">
        <f t="shared" si="15"/>
        <v>0</v>
      </c>
      <c r="R77" s="24">
        <f t="shared" ref="R77:R85" si="16">+SUM(F77:Q77)</f>
        <v>0</v>
      </c>
    </row>
    <row r="78" spans="3:18" x14ac:dyDescent="0.25">
      <c r="C78" s="4" t="s">
        <v>69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24">
        <f t="shared" si="16"/>
        <v>0</v>
      </c>
    </row>
    <row r="79" spans="3:18" x14ac:dyDescent="0.25">
      <c r="C79" s="4" t="s">
        <v>70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24">
        <f t="shared" si="16"/>
        <v>0</v>
      </c>
    </row>
    <row r="80" spans="3:18" x14ac:dyDescent="0.25">
      <c r="C80" s="3" t="s">
        <v>71</v>
      </c>
      <c r="D80" s="17">
        <f>+SUM(D81:D82)</f>
        <v>0</v>
      </c>
      <c r="E80" s="17">
        <f>+SUM(E81:E82)</f>
        <v>0</v>
      </c>
      <c r="F80" s="17">
        <f>+SUM(F81:F82)</f>
        <v>0</v>
      </c>
      <c r="G80" s="17">
        <f t="shared" ref="G80:Q80" si="17">+SUM(G81:G82)</f>
        <v>0</v>
      </c>
      <c r="H80" s="17">
        <f t="shared" si="17"/>
        <v>0</v>
      </c>
      <c r="I80" s="17">
        <f t="shared" si="17"/>
        <v>0</v>
      </c>
      <c r="J80" s="17">
        <f t="shared" si="17"/>
        <v>0</v>
      </c>
      <c r="K80" s="17">
        <f t="shared" si="17"/>
        <v>0</v>
      </c>
      <c r="L80" s="17">
        <f t="shared" si="17"/>
        <v>0</v>
      </c>
      <c r="M80" s="17">
        <f t="shared" si="17"/>
        <v>0</v>
      </c>
      <c r="N80" s="17">
        <f t="shared" si="17"/>
        <v>0</v>
      </c>
      <c r="O80" s="17">
        <f t="shared" si="17"/>
        <v>0</v>
      </c>
      <c r="P80" s="17">
        <f t="shared" si="17"/>
        <v>0</v>
      </c>
      <c r="Q80" s="17">
        <f t="shared" si="17"/>
        <v>0</v>
      </c>
      <c r="R80" s="24">
        <f t="shared" si="16"/>
        <v>0</v>
      </c>
    </row>
    <row r="81" spans="3:18" x14ac:dyDescent="0.25">
      <c r="C81" s="4" t="s">
        <v>72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24">
        <f t="shared" si="16"/>
        <v>0</v>
      </c>
    </row>
    <row r="82" spans="3:18" x14ac:dyDescent="0.25">
      <c r="C82" s="4" t="s">
        <v>73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24">
        <f t="shared" si="16"/>
        <v>0</v>
      </c>
    </row>
    <row r="83" spans="3:18" x14ac:dyDescent="0.25">
      <c r="C83" s="3" t="s">
        <v>74</v>
      </c>
      <c r="D83" s="17">
        <f>+SUM(D84)</f>
        <v>0</v>
      </c>
      <c r="E83" s="17">
        <f>+SUM(E84)</f>
        <v>0</v>
      </c>
      <c r="F83" s="17">
        <f>+SUM(F84)</f>
        <v>0</v>
      </c>
      <c r="G83" s="17">
        <f t="shared" ref="G83:Q83" si="18">+SUM(G84)</f>
        <v>0</v>
      </c>
      <c r="H83" s="17">
        <f t="shared" si="18"/>
        <v>0</v>
      </c>
      <c r="I83" s="17">
        <f t="shared" si="18"/>
        <v>0</v>
      </c>
      <c r="J83" s="17">
        <f t="shared" si="18"/>
        <v>0</v>
      </c>
      <c r="K83" s="17">
        <f t="shared" si="18"/>
        <v>0</v>
      </c>
      <c r="L83" s="17">
        <f t="shared" si="18"/>
        <v>0</v>
      </c>
      <c r="M83" s="17">
        <f t="shared" si="18"/>
        <v>0</v>
      </c>
      <c r="N83" s="17">
        <f t="shared" si="18"/>
        <v>0</v>
      </c>
      <c r="O83" s="17">
        <f t="shared" si="18"/>
        <v>0</v>
      </c>
      <c r="P83" s="17">
        <f t="shared" si="18"/>
        <v>0</v>
      </c>
      <c r="Q83" s="17">
        <f t="shared" si="18"/>
        <v>0</v>
      </c>
      <c r="R83" s="24">
        <f t="shared" si="16"/>
        <v>0</v>
      </c>
    </row>
    <row r="84" spans="3:18" x14ac:dyDescent="0.25">
      <c r="C84" s="4" t="s">
        <v>75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24">
        <f t="shared" si="16"/>
        <v>0</v>
      </c>
    </row>
    <row r="85" spans="3:18" x14ac:dyDescent="0.25">
      <c r="C85" s="6" t="s">
        <v>65</v>
      </c>
      <c r="D85" s="28">
        <f>+D76+D11</f>
        <v>167360446</v>
      </c>
      <c r="E85" s="28">
        <f>+E76+E11</f>
        <v>196151961.74000001</v>
      </c>
      <c r="F85" s="28">
        <f>+F76+F11</f>
        <v>9473315.7599999998</v>
      </c>
      <c r="G85" s="28">
        <f t="shared" ref="G85:Q85" si="19">+G76+G11</f>
        <v>11373105.120000001</v>
      </c>
      <c r="H85" s="28">
        <f t="shared" si="19"/>
        <v>12241394.35</v>
      </c>
      <c r="I85" s="28">
        <f t="shared" si="19"/>
        <v>20303597.399999999</v>
      </c>
      <c r="J85" s="28">
        <f t="shared" si="19"/>
        <v>10740547.689999999</v>
      </c>
      <c r="K85" s="28">
        <f t="shared" si="19"/>
        <v>11458445.970000001</v>
      </c>
      <c r="L85" s="28">
        <f t="shared" si="19"/>
        <v>10657562.82</v>
      </c>
      <c r="M85" s="28">
        <f t="shared" si="19"/>
        <v>9257678.5199999996</v>
      </c>
      <c r="N85" s="28">
        <f t="shared" si="19"/>
        <v>0</v>
      </c>
      <c r="O85" s="28">
        <f t="shared" si="19"/>
        <v>0</v>
      </c>
      <c r="P85" s="28">
        <f t="shared" si="19"/>
        <v>0</v>
      </c>
      <c r="Q85" s="28">
        <f t="shared" si="19"/>
        <v>0</v>
      </c>
      <c r="R85" s="28">
        <f t="shared" si="16"/>
        <v>95505647.63000001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" right="0" top="0" bottom="0.15748031496062992" header="0.31496062992125984" footer="0.31496062992125984"/>
  <pageSetup paperSize="5" scale="45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A3" zoomScale="70" zoomScaleNormal="70" workbookViewId="0">
      <selection activeCell="J13" sqref="J13"/>
    </sheetView>
  </sheetViews>
  <sheetFormatPr baseColWidth="10" defaultColWidth="11.42578125" defaultRowHeight="15" x14ac:dyDescent="0.25"/>
  <cols>
    <col min="1" max="1" width="1.42578125" customWidth="1"/>
    <col min="2" max="2" width="0.42578125" customWidth="1"/>
    <col min="3" max="3" width="104.5703125" customWidth="1"/>
    <col min="4" max="5" width="18.7109375" bestFit="1" customWidth="1"/>
    <col min="6" max="6" width="19.28515625" bestFit="1" customWidth="1"/>
    <col min="7" max="7" width="20.28515625" bestFit="1" customWidth="1"/>
    <col min="8" max="8" width="19.7109375" bestFit="1" customWidth="1"/>
    <col min="9" max="9" width="19.28515625" bestFit="1" customWidth="1"/>
    <col min="10" max="10" width="19.7109375" bestFit="1" customWidth="1"/>
    <col min="11" max="11" width="10.28515625" bestFit="1" customWidth="1"/>
    <col min="12" max="12" width="14.5703125" bestFit="1" customWidth="1"/>
    <col min="13" max="13" width="11" bestFit="1" customWidth="1"/>
    <col min="14" max="14" width="14.28515625" bestFit="1" customWidth="1"/>
    <col min="15" max="15" width="13" bestFit="1" customWidth="1"/>
    <col min="16" max="16" width="19.28515625" bestFit="1" customWidth="1"/>
  </cols>
  <sheetData>
    <row r="3" spans="3:17" ht="28.5" customHeight="1" x14ac:dyDescent="0.25">
      <c r="C3" s="31" t="s">
        <v>98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3:17" ht="21" customHeight="1" x14ac:dyDescent="0.25">
      <c r="C4" s="38" t="s">
        <v>100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8">
        <v>2021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3:17" ht="15.75" customHeight="1" x14ac:dyDescent="0.25">
      <c r="C6" s="40" t="s">
        <v>92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3:17" ht="15.75" customHeight="1" x14ac:dyDescent="0.25">
      <c r="C7" s="41" t="s">
        <v>77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9" spans="3:17" ht="23.25" customHeight="1" x14ac:dyDescent="0.25">
      <c r="C9" s="5" t="s">
        <v>66</v>
      </c>
      <c r="D9" s="15" t="s">
        <v>79</v>
      </c>
      <c r="E9" s="15" t="s">
        <v>80</v>
      </c>
      <c r="F9" s="15" t="s">
        <v>81</v>
      </c>
      <c r="G9" s="15" t="s">
        <v>82</v>
      </c>
      <c r="H9" s="16" t="s">
        <v>83</v>
      </c>
      <c r="I9" s="15" t="s">
        <v>84</v>
      </c>
      <c r="J9" s="16" t="s">
        <v>85</v>
      </c>
      <c r="K9" s="15" t="s">
        <v>86</v>
      </c>
      <c r="L9" s="15" t="s">
        <v>87</v>
      </c>
      <c r="M9" s="15" t="s">
        <v>88</v>
      </c>
      <c r="N9" s="15" t="s">
        <v>89</v>
      </c>
      <c r="O9" s="16" t="s">
        <v>90</v>
      </c>
      <c r="P9" s="15" t="s">
        <v>78</v>
      </c>
    </row>
    <row r="10" spans="3:17" x14ac:dyDescent="0.25">
      <c r="C10" s="1" t="s">
        <v>0</v>
      </c>
      <c r="D10" s="19">
        <f>+D11+D17+D27+D37+D46+D53+D63+D68+D71</f>
        <v>9473315.7599999998</v>
      </c>
      <c r="E10" s="19">
        <f t="shared" ref="E10:O10" si="0">+E11+E17+E27+E37+E46+E53+E63+E68+E71</f>
        <v>11373105.120000001</v>
      </c>
      <c r="F10" s="19">
        <f t="shared" si="0"/>
        <v>12241394.35</v>
      </c>
      <c r="G10" s="19">
        <f t="shared" si="0"/>
        <v>20303597.399999999</v>
      </c>
      <c r="H10" s="19">
        <f t="shared" si="0"/>
        <v>10740547.689999999</v>
      </c>
      <c r="I10" s="19">
        <f t="shared" si="0"/>
        <v>11458445.970000001</v>
      </c>
      <c r="J10" s="19">
        <f t="shared" si="0"/>
        <v>10657562.82</v>
      </c>
      <c r="K10" s="19">
        <f t="shared" si="0"/>
        <v>0</v>
      </c>
      <c r="L10" s="19">
        <f t="shared" si="0"/>
        <v>0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>+SUM(D10:O10)</f>
        <v>86247969.110000014</v>
      </c>
    </row>
    <row r="11" spans="3:17" x14ac:dyDescent="0.25">
      <c r="C11" s="3" t="s">
        <v>1</v>
      </c>
      <c r="D11" s="17">
        <f t="shared" ref="D11:J11" si="1">+SUM(D12:D16)</f>
        <v>8463890.7599999998</v>
      </c>
      <c r="E11" s="17">
        <f t="shared" si="1"/>
        <v>9076573.0500000007</v>
      </c>
      <c r="F11" s="17">
        <f t="shared" si="1"/>
        <v>9492260.1699999981</v>
      </c>
      <c r="G11" s="17">
        <f t="shared" si="1"/>
        <v>16180630.74</v>
      </c>
      <c r="H11" s="17">
        <f t="shared" si="1"/>
        <v>9542787.9900000002</v>
      </c>
      <c r="I11" s="17">
        <f t="shared" si="1"/>
        <v>8618909.75</v>
      </c>
      <c r="J11" s="17">
        <f t="shared" si="1"/>
        <v>9075738.7100000009</v>
      </c>
      <c r="P11" s="17">
        <f t="shared" ref="P11" si="2">+SUM(P12:P16)</f>
        <v>70450791.170000002</v>
      </c>
    </row>
    <row r="12" spans="3:17" x14ac:dyDescent="0.25">
      <c r="C12" s="4" t="s">
        <v>2</v>
      </c>
      <c r="D12" s="20">
        <f>5413623.5+55000+1792200</f>
        <v>7260823.5</v>
      </c>
      <c r="E12" s="18">
        <f>55376.1+66000+1856800+55000+5524168</f>
        <v>7557344.0999999996</v>
      </c>
      <c r="F12" s="24">
        <f>5950368+130000+1356500+47916.67+788340.89</f>
        <v>8273125.5599999996</v>
      </c>
      <c r="G12" s="18">
        <f>5929668+130000+1845100+60000+55154.59</f>
        <v>8019922.5899999999</v>
      </c>
      <c r="H12" s="18">
        <f>5967716.09+65000+1579100</f>
        <v>7611816.0899999999</v>
      </c>
      <c r="I12" s="18">
        <f>5929668+205000+1285800</f>
        <v>7420468</v>
      </c>
      <c r="J12" s="18">
        <f>5898501.33+905000+1014200</f>
        <v>7817701.3300000001</v>
      </c>
      <c r="P12" s="24">
        <f t="shared" ref="P12:P75" si="3">+SUM(D12:O12)</f>
        <v>53961201.170000002</v>
      </c>
    </row>
    <row r="13" spans="3:17" x14ac:dyDescent="0.25">
      <c r="C13" s="4" t="s">
        <v>3</v>
      </c>
      <c r="D13" s="20">
        <v>347500</v>
      </c>
      <c r="E13" s="18">
        <v>347500</v>
      </c>
      <c r="F13" s="18">
        <v>347500</v>
      </c>
      <c r="G13" s="18">
        <f>347500+6723901</f>
        <v>7071401</v>
      </c>
      <c r="H13" s="18">
        <f>331000+710183.67</f>
        <v>1041183.67</v>
      </c>
      <c r="I13" s="18">
        <v>331000</v>
      </c>
      <c r="J13" s="18">
        <v>331000</v>
      </c>
      <c r="P13" s="24">
        <f t="shared" si="3"/>
        <v>9817084.6699999999</v>
      </c>
    </row>
    <row r="14" spans="3:17" x14ac:dyDescent="0.25">
      <c r="C14" s="4" t="s">
        <v>4</v>
      </c>
      <c r="D14" s="20">
        <v>0</v>
      </c>
      <c r="E14" s="18">
        <v>300000.15999999997</v>
      </c>
      <c r="F14" s="18">
        <v>0</v>
      </c>
      <c r="G14" s="18">
        <v>150000.07999999999</v>
      </c>
      <c r="H14" s="18"/>
      <c r="I14" s="18"/>
      <c r="J14" s="18">
        <v>0</v>
      </c>
      <c r="P14" s="24">
        <f t="shared" si="3"/>
        <v>450000.24</v>
      </c>
      <c r="Q14" s="14"/>
    </row>
    <row r="15" spans="3:17" x14ac:dyDescent="0.25">
      <c r="C15" s="4" t="s">
        <v>5</v>
      </c>
      <c r="D15" s="20">
        <v>0</v>
      </c>
      <c r="E15" s="18"/>
      <c r="F15" s="18">
        <v>0</v>
      </c>
      <c r="G15" s="18"/>
      <c r="H15" s="18"/>
      <c r="I15" s="18"/>
      <c r="J15" s="18">
        <v>0</v>
      </c>
      <c r="P15" s="24">
        <f t="shared" si="3"/>
        <v>0</v>
      </c>
    </row>
    <row r="16" spans="3:17" x14ac:dyDescent="0.25">
      <c r="C16" s="4" t="s">
        <v>6</v>
      </c>
      <c r="D16" s="20">
        <f>364077.2+455212.24+36277.82</f>
        <v>855567.25999999989</v>
      </c>
      <c r="E16" s="18">
        <f>371571.33+462716.94+37440.52</f>
        <v>871728.79</v>
      </c>
      <c r="F16" s="18">
        <f>371635.14+462780.84+37218.63</f>
        <v>871634.61</v>
      </c>
      <c r="G16" s="18">
        <f>403391.25+496001.74+39914.08</f>
        <v>939307.07</v>
      </c>
      <c r="H16" s="18">
        <f>379923.35+472500.74+37364.14</f>
        <v>889788.23</v>
      </c>
      <c r="I16" s="18">
        <f>369054.38+461616.44+36770.93</f>
        <v>867441.75000000012</v>
      </c>
      <c r="J16" s="18">
        <f>397218.22+489820.01+39999.15</f>
        <v>927037.38</v>
      </c>
      <c r="P16" s="24">
        <f t="shared" si="3"/>
        <v>6222505.0899999989</v>
      </c>
    </row>
    <row r="17" spans="3:16" x14ac:dyDescent="0.25">
      <c r="C17" s="3" t="s">
        <v>7</v>
      </c>
      <c r="D17" s="17">
        <f t="shared" ref="D17:J17" si="4">+SUM(D18:D26)</f>
        <v>590425</v>
      </c>
      <c r="E17" s="17">
        <f t="shared" si="4"/>
        <v>2178132.0700000003</v>
      </c>
      <c r="F17" s="17">
        <f t="shared" si="4"/>
        <v>1379934.42</v>
      </c>
      <c r="G17" s="17">
        <f t="shared" si="4"/>
        <v>3726266.2600000002</v>
      </c>
      <c r="H17" s="17">
        <f t="shared" si="4"/>
        <v>1429440.1099999999</v>
      </c>
      <c r="I17" s="17">
        <f t="shared" si="4"/>
        <v>1982760.98</v>
      </c>
      <c r="J17" s="17">
        <f t="shared" si="4"/>
        <v>1549184.9599999997</v>
      </c>
      <c r="P17" s="17">
        <f t="shared" ref="P17" si="5">+SUM(P18:P26)</f>
        <v>12836143.799999999</v>
      </c>
    </row>
    <row r="18" spans="3:16" x14ac:dyDescent="0.25">
      <c r="C18" s="4" t="s">
        <v>8</v>
      </c>
      <c r="D18" s="20">
        <f>92265.95+5187+211561.74+1725</f>
        <v>310739.69</v>
      </c>
      <c r="E18" s="18">
        <f>32748.7+5524.29+106305.27+1725</f>
        <v>146303.26</v>
      </c>
      <c r="F18" s="18">
        <f>234259.58+1725</f>
        <v>235984.58</v>
      </c>
      <c r="G18" s="18">
        <f>32638.31+16748.98+96653.67+1725</f>
        <v>147765.96</v>
      </c>
      <c r="H18" s="18">
        <f>151607.41+5232.05+109072.05+1725</f>
        <v>267636.51</v>
      </c>
      <c r="I18" s="18">
        <f>91808.44+120686.89+1725</f>
        <v>214220.33000000002</v>
      </c>
      <c r="J18" s="18">
        <f>91915.68+11045.18+121717.48+1725</f>
        <v>226403.33999999997</v>
      </c>
      <c r="P18" s="24">
        <f t="shared" si="3"/>
        <v>1549053.67</v>
      </c>
    </row>
    <row r="19" spans="3:16" x14ac:dyDescent="0.25">
      <c r="C19" s="4" t="s">
        <v>9</v>
      </c>
      <c r="D19" s="20"/>
      <c r="E19" s="18">
        <v>145140</v>
      </c>
      <c r="F19" s="18">
        <f>69772.77+12553.52</f>
        <v>82326.290000000008</v>
      </c>
      <c r="G19" s="18">
        <f>51849.28+33792.25</f>
        <v>85641.53</v>
      </c>
      <c r="H19" s="18">
        <f>2083.33+5855.37</f>
        <v>7938.7</v>
      </c>
      <c r="I19" s="18">
        <v>260051.63</v>
      </c>
      <c r="J19" s="18">
        <v>94243.3</v>
      </c>
      <c r="P19" s="24">
        <f t="shared" si="3"/>
        <v>675341.45000000007</v>
      </c>
    </row>
    <row r="20" spans="3:16" x14ac:dyDescent="0.25">
      <c r="C20" s="4" t="s">
        <v>10</v>
      </c>
      <c r="D20" s="20"/>
      <c r="E20" s="18"/>
      <c r="F20" s="18"/>
      <c r="G20" s="18"/>
      <c r="H20" s="18"/>
      <c r="I20" s="18"/>
      <c r="J20" s="18">
        <v>0</v>
      </c>
      <c r="P20" s="24">
        <f t="shared" si="3"/>
        <v>0</v>
      </c>
    </row>
    <row r="21" spans="3:16" x14ac:dyDescent="0.25">
      <c r="C21" s="4" t="s">
        <v>11</v>
      </c>
      <c r="D21" s="20"/>
      <c r="E21" s="18"/>
      <c r="F21" s="18"/>
      <c r="G21" s="18"/>
      <c r="H21" s="18"/>
      <c r="I21" s="18"/>
      <c r="J21" s="18">
        <v>0</v>
      </c>
      <c r="P21" s="24">
        <f t="shared" si="3"/>
        <v>0</v>
      </c>
    </row>
    <row r="22" spans="3:16" x14ac:dyDescent="0.25">
      <c r="C22" s="4" t="s">
        <v>12</v>
      </c>
      <c r="D22" s="20"/>
      <c r="E22" s="18">
        <v>727866.24</v>
      </c>
      <c r="F22" s="18">
        <v>22357.17</v>
      </c>
      <c r="G22" s="18">
        <v>205320</v>
      </c>
      <c r="H22" s="18">
        <v>15222</v>
      </c>
      <c r="I22" s="18"/>
      <c r="J22" s="18">
        <v>0</v>
      </c>
      <c r="P22" s="24">
        <f t="shared" si="3"/>
        <v>970765.41</v>
      </c>
    </row>
    <row r="23" spans="3:16" x14ac:dyDescent="0.25">
      <c r="C23" s="4" t="s">
        <v>13</v>
      </c>
      <c r="D23" s="20">
        <v>279685.31</v>
      </c>
      <c r="E23" s="18">
        <v>317308.71000000002</v>
      </c>
      <c r="F23" s="18">
        <v>325637.21999999997</v>
      </c>
      <c r="G23" s="18">
        <f>173780.96+2458016.34</f>
        <v>2631797.2999999998</v>
      </c>
      <c r="H23" s="18">
        <v>383672.22</v>
      </c>
      <c r="I23" s="18">
        <v>373786.69</v>
      </c>
      <c r="J23" s="18">
        <f>471096.04+371754.06</f>
        <v>842850.1</v>
      </c>
      <c r="P23" s="24">
        <f t="shared" si="3"/>
        <v>5154737.55</v>
      </c>
    </row>
    <row r="24" spans="3:16" x14ac:dyDescent="0.25">
      <c r="C24" s="4" t="s">
        <v>14</v>
      </c>
      <c r="D24" s="21"/>
      <c r="E24" s="18">
        <f>29122.4+18130.7</f>
        <v>47253.100000000006</v>
      </c>
      <c r="F24" s="18">
        <v>38291</v>
      </c>
      <c r="G24" s="18">
        <f>16756+35671.4</f>
        <v>52427.4</v>
      </c>
      <c r="H24" s="18">
        <v>11800</v>
      </c>
      <c r="I24" s="18">
        <f>5900+84488</f>
        <v>90388</v>
      </c>
      <c r="J24" s="18">
        <v>68763.37</v>
      </c>
      <c r="P24" s="24">
        <f t="shared" si="3"/>
        <v>308922.87</v>
      </c>
    </row>
    <row r="25" spans="3:16" x14ac:dyDescent="0.25">
      <c r="C25" s="4" t="s">
        <v>15</v>
      </c>
      <c r="D25" s="20"/>
      <c r="E25" s="25">
        <f>38420.02+23600+135700</f>
        <v>197720.02</v>
      </c>
      <c r="F25" s="25">
        <f>19210.01+23600+198595.94+433932.21</f>
        <v>675338.16</v>
      </c>
      <c r="G25" s="25">
        <f>19210.01+47200+7800+216974</f>
        <v>291184.01</v>
      </c>
      <c r="H25" s="25">
        <f>24627.32+33960.01+238201.15</f>
        <v>296788.47999999998</v>
      </c>
      <c r="I25" s="25">
        <f>19210.01+106576.28+47200+619988.04+404504</f>
        <v>1197478.33</v>
      </c>
      <c r="J25" s="25">
        <f>47200+9000+14039.95</f>
        <v>70239.95</v>
      </c>
      <c r="P25" s="24">
        <f t="shared" si="3"/>
        <v>2728748.95</v>
      </c>
    </row>
    <row r="26" spans="3:16" x14ac:dyDescent="0.25">
      <c r="C26" s="4" t="s">
        <v>16</v>
      </c>
      <c r="D26" s="20"/>
      <c r="E26" s="18">
        <v>596540.74</v>
      </c>
      <c r="F26" s="18"/>
      <c r="G26" s="18">
        <v>312130.06</v>
      </c>
      <c r="H26" s="18">
        <v>446382.2</v>
      </c>
      <c r="I26" s="18">
        <v>-153164</v>
      </c>
      <c r="J26" s="18">
        <v>246684.9</v>
      </c>
      <c r="P26" s="24">
        <f t="shared" si="3"/>
        <v>1448573.9</v>
      </c>
    </row>
    <row r="27" spans="3:16" x14ac:dyDescent="0.25">
      <c r="C27" s="3" t="s">
        <v>17</v>
      </c>
      <c r="D27" s="17">
        <f>+SUM(D28:D36)</f>
        <v>419000</v>
      </c>
      <c r="E27" s="17">
        <f>+SUM(E28:E36)</f>
        <v>11345</v>
      </c>
      <c r="F27" s="17">
        <f t="shared" ref="F27:J27" si="6">+SUM(F28:F36)</f>
        <v>1029068.98</v>
      </c>
      <c r="G27" s="17">
        <f t="shared" si="6"/>
        <v>348613.19</v>
      </c>
      <c r="H27" s="17">
        <f t="shared" si="6"/>
        <v>69710.8</v>
      </c>
      <c r="I27" s="17">
        <f t="shared" si="6"/>
        <v>341730.24</v>
      </c>
      <c r="J27" s="17">
        <f t="shared" si="6"/>
        <v>169406.65</v>
      </c>
      <c r="P27" s="17">
        <f t="shared" ref="P27" si="7">+SUM(P28:P36)</f>
        <v>2388874.8599999994</v>
      </c>
    </row>
    <row r="28" spans="3:16" x14ac:dyDescent="0.25">
      <c r="C28" s="4" t="s">
        <v>18</v>
      </c>
      <c r="D28" s="20"/>
      <c r="E28" s="18">
        <f>5950+3400</f>
        <v>9350</v>
      </c>
      <c r="F28" s="18">
        <f>23800.6+38350</f>
        <v>62150.6</v>
      </c>
      <c r="G28" s="18"/>
      <c r="H28" s="18">
        <f>28340+6372</f>
        <v>34712</v>
      </c>
      <c r="I28" s="18">
        <v>36380.400000000001</v>
      </c>
      <c r="J28" s="18">
        <v>12500</v>
      </c>
      <c r="P28" s="24">
        <f t="shared" si="3"/>
        <v>155093</v>
      </c>
    </row>
    <row r="29" spans="3:16" x14ac:dyDescent="0.25">
      <c r="C29" s="4" t="s">
        <v>19</v>
      </c>
      <c r="D29" s="20"/>
      <c r="E29" s="18"/>
      <c r="F29" s="18"/>
      <c r="G29" s="18"/>
      <c r="H29" s="18"/>
      <c r="I29" s="18"/>
      <c r="J29" s="18"/>
      <c r="P29" s="24">
        <f t="shared" si="3"/>
        <v>0</v>
      </c>
    </row>
    <row r="30" spans="3:16" x14ac:dyDescent="0.25">
      <c r="C30" s="4" t="s">
        <v>20</v>
      </c>
      <c r="D30" s="20"/>
      <c r="E30" s="18">
        <v>1995</v>
      </c>
      <c r="F30" s="18">
        <f>12744+20801.72+6088.8</f>
        <v>39634.520000000004</v>
      </c>
      <c r="G30" s="18">
        <f>1799.1+4566.59+17360</f>
        <v>23725.690000000002</v>
      </c>
      <c r="H30" s="18"/>
      <c r="I30" s="18">
        <f>12744+44506.98+3304</f>
        <v>60554.98</v>
      </c>
      <c r="J30" s="18"/>
      <c r="P30" s="24">
        <f t="shared" si="3"/>
        <v>125910.19</v>
      </c>
    </row>
    <row r="31" spans="3:16" x14ac:dyDescent="0.25">
      <c r="C31" s="4" t="s">
        <v>21</v>
      </c>
      <c r="D31" s="20"/>
      <c r="E31" s="18"/>
      <c r="F31" s="18"/>
      <c r="G31" s="18"/>
      <c r="H31" s="18"/>
      <c r="I31" s="18"/>
      <c r="J31" s="18"/>
      <c r="P31" s="24">
        <f t="shared" si="3"/>
        <v>0</v>
      </c>
    </row>
    <row r="32" spans="3:16" x14ac:dyDescent="0.25">
      <c r="C32" s="4" t="s">
        <v>22</v>
      </c>
      <c r="D32" s="20"/>
      <c r="E32" s="18"/>
      <c r="F32" s="18">
        <v>4248</v>
      </c>
      <c r="G32" s="18"/>
      <c r="H32" s="18">
        <v>22136.799999999999</v>
      </c>
      <c r="I32" s="18">
        <v>5717.1</v>
      </c>
      <c r="J32" s="18"/>
      <c r="P32" s="24">
        <f t="shared" si="3"/>
        <v>32101.9</v>
      </c>
    </row>
    <row r="33" spans="3:16" x14ac:dyDescent="0.25">
      <c r="C33" s="4" t="s">
        <v>23</v>
      </c>
      <c r="D33" s="20"/>
      <c r="E33" s="18"/>
      <c r="F33" s="18"/>
      <c r="G33" s="18"/>
      <c r="H33" s="18">
        <v>2832</v>
      </c>
      <c r="I33" s="18"/>
      <c r="J33" s="18"/>
      <c r="P33" s="24">
        <f t="shared" si="3"/>
        <v>2832</v>
      </c>
    </row>
    <row r="34" spans="3:16" x14ac:dyDescent="0.25">
      <c r="C34" s="4" t="s">
        <v>24</v>
      </c>
      <c r="D34" s="21">
        <v>419000</v>
      </c>
      <c r="E34" s="26"/>
      <c r="F34" s="26">
        <f>828000+8563.5+1770</f>
        <v>838333.5</v>
      </c>
      <c r="G34" s="26">
        <f>316000+8887.5</f>
        <v>324887.5</v>
      </c>
      <c r="H34" s="26"/>
      <c r="I34" s="26">
        <f>158086.63+9935</f>
        <v>168021.63</v>
      </c>
      <c r="J34" s="26">
        <v>130238.65</v>
      </c>
      <c r="P34" s="24">
        <f t="shared" si="3"/>
        <v>1880481.2799999998</v>
      </c>
    </row>
    <row r="35" spans="3:16" x14ac:dyDescent="0.25">
      <c r="C35" s="4" t="s">
        <v>25</v>
      </c>
      <c r="D35" s="20"/>
      <c r="E35" s="18"/>
      <c r="F35" s="18"/>
      <c r="G35" s="18"/>
      <c r="H35" s="18"/>
      <c r="I35" s="18"/>
      <c r="J35" s="18"/>
      <c r="P35" s="24">
        <f t="shared" si="3"/>
        <v>0</v>
      </c>
    </row>
    <row r="36" spans="3:16" x14ac:dyDescent="0.25">
      <c r="C36" s="4" t="s">
        <v>26</v>
      </c>
      <c r="D36" s="20"/>
      <c r="E36" s="18"/>
      <c r="F36" s="18">
        <f>22854.8+12922.85+31339.1+17585.61</f>
        <v>84702.36</v>
      </c>
      <c r="G36" s="18"/>
      <c r="H36" s="18">
        <v>10030</v>
      </c>
      <c r="I36" s="18">
        <f>45466.42+18180.71+7409</f>
        <v>71056.13</v>
      </c>
      <c r="J36" s="18">
        <f>19234+7434</f>
        <v>26668</v>
      </c>
      <c r="P36" s="24">
        <f t="shared" si="3"/>
        <v>192456.49</v>
      </c>
    </row>
    <row r="37" spans="3:16" x14ac:dyDescent="0.25">
      <c r="C37" s="3" t="s">
        <v>27</v>
      </c>
      <c r="D37" s="17">
        <f t="shared" ref="D37:J37" si="8">+SUM(D38:D44)</f>
        <v>0</v>
      </c>
      <c r="E37" s="17">
        <f t="shared" si="8"/>
        <v>107055</v>
      </c>
      <c r="F37" s="17">
        <f t="shared" si="8"/>
        <v>334136.38</v>
      </c>
      <c r="G37" s="17">
        <f t="shared" si="8"/>
        <v>29984.83</v>
      </c>
      <c r="H37" s="17">
        <f t="shared" si="8"/>
        <v>-301391.21000000002</v>
      </c>
      <c r="I37" s="17">
        <f t="shared" si="8"/>
        <v>515045</v>
      </c>
      <c r="J37" s="17">
        <f t="shared" si="8"/>
        <v>-136767.5</v>
      </c>
      <c r="P37" s="17">
        <f t="shared" ref="P37" si="9">+SUM(P38:P44)</f>
        <v>548062.5</v>
      </c>
    </row>
    <row r="38" spans="3:16" x14ac:dyDescent="0.25">
      <c r="C38" s="4" t="s">
        <v>28</v>
      </c>
      <c r="D38" s="18"/>
      <c r="E38" s="18">
        <f>12500+94555</f>
        <v>107055</v>
      </c>
      <c r="F38" s="18">
        <v>334136.38</v>
      </c>
      <c r="G38" s="18">
        <v>29984.83</v>
      </c>
      <c r="H38" s="18">
        <v>-301391.21000000002</v>
      </c>
      <c r="I38" s="18">
        <f>232545+282500</f>
        <v>515045</v>
      </c>
      <c r="J38" s="18">
        <f>145732.5-282500</f>
        <v>-136767.5</v>
      </c>
      <c r="P38" s="24">
        <f t="shared" si="3"/>
        <v>548062.5</v>
      </c>
    </row>
    <row r="39" spans="3:16" x14ac:dyDescent="0.25">
      <c r="C39" s="4" t="s">
        <v>29</v>
      </c>
      <c r="D39" s="22"/>
      <c r="E39" s="22"/>
      <c r="F39" s="22"/>
      <c r="G39" s="22"/>
      <c r="H39" s="22"/>
      <c r="I39" s="22"/>
      <c r="J39" s="18"/>
      <c r="P39" s="24">
        <f t="shared" si="3"/>
        <v>0</v>
      </c>
    </row>
    <row r="40" spans="3:16" x14ac:dyDescent="0.25">
      <c r="C40" s="4" t="s">
        <v>30</v>
      </c>
      <c r="D40" s="22"/>
      <c r="E40" s="22"/>
      <c r="F40" s="22"/>
      <c r="G40" s="22"/>
      <c r="H40" s="22"/>
      <c r="I40" s="22"/>
      <c r="J40" s="18"/>
      <c r="P40" s="24">
        <f t="shared" si="3"/>
        <v>0</v>
      </c>
    </row>
    <row r="41" spans="3:16" x14ac:dyDescent="0.25">
      <c r="C41" s="4" t="s">
        <v>31</v>
      </c>
      <c r="D41" s="22"/>
      <c r="E41" s="22"/>
      <c r="F41" s="22"/>
      <c r="G41" s="22"/>
      <c r="H41" s="22"/>
      <c r="I41" s="22"/>
      <c r="J41" s="18"/>
      <c r="P41" s="24">
        <f t="shared" si="3"/>
        <v>0</v>
      </c>
    </row>
    <row r="42" spans="3:16" x14ac:dyDescent="0.25">
      <c r="C42" s="4" t="s">
        <v>32</v>
      </c>
      <c r="D42" s="22"/>
      <c r="E42" s="22"/>
      <c r="F42" s="22"/>
      <c r="G42" s="22"/>
      <c r="H42" s="22"/>
      <c r="I42" s="22"/>
      <c r="J42" s="18"/>
      <c r="P42" s="24">
        <f t="shared" si="3"/>
        <v>0</v>
      </c>
    </row>
    <row r="43" spans="3:16" x14ac:dyDescent="0.25">
      <c r="C43" s="4" t="s">
        <v>33</v>
      </c>
      <c r="D43" s="22"/>
      <c r="E43" s="22"/>
      <c r="F43" s="22"/>
      <c r="G43" s="22"/>
      <c r="H43" s="22"/>
      <c r="I43" s="22"/>
      <c r="J43" s="18"/>
      <c r="P43" s="24">
        <f t="shared" si="3"/>
        <v>0</v>
      </c>
    </row>
    <row r="44" spans="3:16" x14ac:dyDescent="0.25">
      <c r="C44" s="4" t="s">
        <v>34</v>
      </c>
      <c r="D44" s="22"/>
      <c r="E44" s="22"/>
      <c r="F44" s="22"/>
      <c r="G44" s="22"/>
      <c r="H44" s="22"/>
      <c r="I44" s="22"/>
      <c r="J44" s="18"/>
      <c r="P44" s="24">
        <f t="shared" si="3"/>
        <v>0</v>
      </c>
    </row>
    <row r="45" spans="3:16" x14ac:dyDescent="0.25">
      <c r="C45" s="4" t="s">
        <v>35</v>
      </c>
      <c r="D45" s="17"/>
      <c r="E45" s="17"/>
      <c r="F45" s="17"/>
      <c r="G45" s="17"/>
      <c r="H45" s="17"/>
      <c r="I45" s="17"/>
      <c r="J45" s="18"/>
      <c r="P45" s="24">
        <f t="shared" si="3"/>
        <v>0</v>
      </c>
    </row>
    <row r="46" spans="3:16" x14ac:dyDescent="0.25">
      <c r="C46" s="3" t="s">
        <v>36</v>
      </c>
      <c r="D46" s="22"/>
      <c r="E46" s="22"/>
      <c r="F46" s="22"/>
      <c r="G46" s="22"/>
      <c r="H46" s="22"/>
      <c r="I46" s="22"/>
      <c r="J46" s="18"/>
      <c r="P46" s="24">
        <f t="shared" si="3"/>
        <v>0</v>
      </c>
    </row>
    <row r="47" spans="3:16" x14ac:dyDescent="0.25">
      <c r="C47" s="4" t="s">
        <v>37</v>
      </c>
      <c r="D47" s="22"/>
      <c r="E47" s="22"/>
      <c r="F47" s="22"/>
      <c r="G47" s="22"/>
      <c r="H47" s="22"/>
      <c r="I47" s="22"/>
      <c r="J47" s="18"/>
      <c r="P47" s="24">
        <f t="shared" si="3"/>
        <v>0</v>
      </c>
    </row>
    <row r="48" spans="3:16" x14ac:dyDescent="0.25">
      <c r="C48" s="4" t="s">
        <v>38</v>
      </c>
      <c r="D48" s="22"/>
      <c r="E48" s="22"/>
      <c r="F48" s="22"/>
      <c r="G48" s="22"/>
      <c r="H48" s="22"/>
      <c r="I48" s="22"/>
      <c r="J48" s="18"/>
      <c r="P48" s="24">
        <f t="shared" si="3"/>
        <v>0</v>
      </c>
    </row>
    <row r="49" spans="3:16" x14ac:dyDescent="0.25">
      <c r="C49" s="4" t="s">
        <v>39</v>
      </c>
      <c r="D49" s="22"/>
      <c r="E49" s="22"/>
      <c r="F49" s="22"/>
      <c r="G49" s="22"/>
      <c r="H49" s="22"/>
      <c r="I49" s="22"/>
      <c r="J49" s="18"/>
      <c r="P49" s="24">
        <f t="shared" si="3"/>
        <v>0</v>
      </c>
    </row>
    <row r="50" spans="3:16" x14ac:dyDescent="0.25">
      <c r="C50" s="4" t="s">
        <v>40</v>
      </c>
      <c r="D50" s="22"/>
      <c r="E50" s="22"/>
      <c r="F50" s="22"/>
      <c r="G50" s="22"/>
      <c r="H50" s="22"/>
      <c r="I50" s="22"/>
      <c r="J50" s="18"/>
      <c r="P50" s="24">
        <f t="shared" si="3"/>
        <v>0</v>
      </c>
    </row>
    <row r="51" spans="3:16" x14ac:dyDescent="0.25">
      <c r="C51" s="4" t="s">
        <v>41</v>
      </c>
      <c r="D51" s="22"/>
      <c r="E51" s="22"/>
      <c r="F51" s="22"/>
      <c r="G51" s="22"/>
      <c r="H51" s="22"/>
      <c r="I51" s="22"/>
      <c r="J51" s="18"/>
      <c r="P51" s="24">
        <f t="shared" si="3"/>
        <v>0</v>
      </c>
    </row>
    <row r="52" spans="3:16" x14ac:dyDescent="0.25">
      <c r="C52" s="4" t="s">
        <v>42</v>
      </c>
      <c r="D52" s="22"/>
      <c r="E52" s="22"/>
      <c r="F52" s="22"/>
      <c r="G52" s="22"/>
      <c r="H52" s="22"/>
      <c r="I52" s="22"/>
      <c r="J52" s="18"/>
      <c r="P52" s="24">
        <f t="shared" si="3"/>
        <v>0</v>
      </c>
    </row>
    <row r="53" spans="3:16" x14ac:dyDescent="0.25">
      <c r="C53" s="3" t="s">
        <v>43</v>
      </c>
      <c r="D53" s="17">
        <f t="shared" ref="D53:J53" si="10">+SUM(D54:D62)</f>
        <v>0</v>
      </c>
      <c r="E53" s="17">
        <f t="shared" si="10"/>
        <v>0</v>
      </c>
      <c r="F53" s="17">
        <f t="shared" si="10"/>
        <v>5994.4</v>
      </c>
      <c r="G53" s="17">
        <f t="shared" si="10"/>
        <v>18102.379999999997</v>
      </c>
      <c r="H53" s="17">
        <f t="shared" si="10"/>
        <v>0</v>
      </c>
      <c r="I53" s="17">
        <f t="shared" si="10"/>
        <v>0</v>
      </c>
      <c r="J53" s="17">
        <f t="shared" si="10"/>
        <v>0</v>
      </c>
      <c r="P53" s="17">
        <f t="shared" ref="P53" si="11">+SUM(P54:P62)</f>
        <v>24096.78</v>
      </c>
    </row>
    <row r="54" spans="3:16" x14ac:dyDescent="0.25">
      <c r="C54" s="4" t="s">
        <v>44</v>
      </c>
      <c r="D54" s="23"/>
      <c r="E54" s="23"/>
      <c r="F54" s="23">
        <v>5994.4</v>
      </c>
      <c r="G54" s="23">
        <f>12025.38+6077</f>
        <v>18102.379999999997</v>
      </c>
      <c r="H54" s="23"/>
      <c r="I54" s="23"/>
      <c r="J54" s="27"/>
      <c r="P54" s="24">
        <f t="shared" si="3"/>
        <v>24096.78</v>
      </c>
    </row>
    <row r="55" spans="3:16" x14ac:dyDescent="0.25">
      <c r="C55" s="4" t="s">
        <v>45</v>
      </c>
      <c r="D55" s="23"/>
      <c r="E55" s="23"/>
      <c r="F55" s="23"/>
      <c r="G55" s="23"/>
      <c r="H55" s="23"/>
      <c r="I55" s="23"/>
      <c r="J55" s="27"/>
      <c r="P55" s="24">
        <f t="shared" si="3"/>
        <v>0</v>
      </c>
    </row>
    <row r="56" spans="3:16" x14ac:dyDescent="0.25">
      <c r="C56" s="4" t="s">
        <v>46</v>
      </c>
      <c r="D56" s="23"/>
      <c r="E56" s="23"/>
      <c r="F56" s="23"/>
      <c r="G56" s="23"/>
      <c r="H56" s="23"/>
      <c r="I56" s="23"/>
      <c r="J56" s="27"/>
      <c r="P56" s="24">
        <f t="shared" si="3"/>
        <v>0</v>
      </c>
    </row>
    <row r="57" spans="3:16" x14ac:dyDescent="0.25">
      <c r="C57" s="4" t="s">
        <v>47</v>
      </c>
      <c r="D57" s="23"/>
      <c r="E57" s="23"/>
      <c r="F57" s="23"/>
      <c r="G57" s="23"/>
      <c r="H57" s="23"/>
      <c r="I57" s="23"/>
      <c r="J57" s="27"/>
      <c r="P57" s="24">
        <f t="shared" si="3"/>
        <v>0</v>
      </c>
    </row>
    <row r="58" spans="3:16" x14ac:dyDescent="0.25">
      <c r="C58" s="4" t="s">
        <v>48</v>
      </c>
      <c r="D58" s="23"/>
      <c r="E58" s="23"/>
      <c r="F58" s="23"/>
      <c r="G58" s="23"/>
      <c r="H58" s="23"/>
      <c r="I58" s="23"/>
      <c r="J58" s="27"/>
      <c r="P58" s="24">
        <f t="shared" si="3"/>
        <v>0</v>
      </c>
    </row>
    <row r="59" spans="3:16" x14ac:dyDescent="0.25">
      <c r="C59" s="4" t="s">
        <v>49</v>
      </c>
      <c r="D59" s="23"/>
      <c r="E59" s="23"/>
      <c r="F59" s="23"/>
      <c r="G59" s="23"/>
      <c r="H59" s="23"/>
      <c r="I59" s="23"/>
      <c r="J59" s="27"/>
      <c r="P59" s="24">
        <f t="shared" si="3"/>
        <v>0</v>
      </c>
    </row>
    <row r="60" spans="3:16" x14ac:dyDescent="0.25">
      <c r="C60" s="4" t="s">
        <v>50</v>
      </c>
      <c r="D60" s="23"/>
      <c r="E60" s="23"/>
      <c r="F60" s="23"/>
      <c r="G60" s="23"/>
      <c r="H60" s="23"/>
      <c r="I60" s="23"/>
      <c r="J60" s="27"/>
      <c r="P60" s="24">
        <f t="shared" si="3"/>
        <v>0</v>
      </c>
    </row>
    <row r="61" spans="3:16" x14ac:dyDescent="0.25">
      <c r="C61" s="4" t="s">
        <v>51</v>
      </c>
      <c r="D61" s="23"/>
      <c r="E61" s="23"/>
      <c r="F61" s="23"/>
      <c r="G61" s="23"/>
      <c r="H61" s="23"/>
      <c r="I61" s="23"/>
      <c r="J61" s="27"/>
      <c r="P61" s="24">
        <f t="shared" si="3"/>
        <v>0</v>
      </c>
    </row>
    <row r="62" spans="3:16" x14ac:dyDescent="0.25">
      <c r="C62" s="4" t="s">
        <v>52</v>
      </c>
      <c r="D62" s="23"/>
      <c r="E62" s="23"/>
      <c r="F62" s="23"/>
      <c r="G62" s="23"/>
      <c r="H62" s="23"/>
      <c r="I62" s="23"/>
      <c r="J62" s="27"/>
      <c r="P62" s="24">
        <f t="shared" si="3"/>
        <v>0</v>
      </c>
    </row>
    <row r="63" spans="3:16" x14ac:dyDescent="0.25">
      <c r="C63" s="3" t="s">
        <v>53</v>
      </c>
      <c r="D63" s="17">
        <f t="shared" ref="D63:P63" si="12">+SUM(D64:D67)</f>
        <v>0</v>
      </c>
      <c r="E63" s="17">
        <f t="shared" si="12"/>
        <v>0</v>
      </c>
      <c r="F63" s="17">
        <f t="shared" si="12"/>
        <v>0</v>
      </c>
      <c r="G63" s="17">
        <f t="shared" si="12"/>
        <v>0</v>
      </c>
      <c r="H63" s="17">
        <f t="shared" si="12"/>
        <v>0</v>
      </c>
      <c r="I63" s="17">
        <f t="shared" si="12"/>
        <v>0</v>
      </c>
      <c r="J63" s="17">
        <f t="shared" si="12"/>
        <v>0</v>
      </c>
      <c r="K63" s="17">
        <f t="shared" si="12"/>
        <v>0</v>
      </c>
      <c r="L63" s="17">
        <f t="shared" si="12"/>
        <v>0</v>
      </c>
      <c r="M63" s="17">
        <f t="shared" si="12"/>
        <v>0</v>
      </c>
      <c r="N63" s="17">
        <f t="shared" si="12"/>
        <v>0</v>
      </c>
      <c r="O63" s="17">
        <f t="shared" si="12"/>
        <v>0</v>
      </c>
      <c r="P63" s="17">
        <f t="shared" si="12"/>
        <v>0</v>
      </c>
    </row>
    <row r="64" spans="3:16" x14ac:dyDescent="0.25">
      <c r="C64" s="4" t="s">
        <v>54</v>
      </c>
      <c r="D64" s="23"/>
      <c r="E64" s="23"/>
      <c r="F64" s="23"/>
      <c r="G64" s="23"/>
      <c r="H64" s="23"/>
      <c r="I64" s="23"/>
      <c r="J64" s="18"/>
      <c r="P64" s="24">
        <f t="shared" si="3"/>
        <v>0</v>
      </c>
    </row>
    <row r="65" spans="3:16" x14ac:dyDescent="0.25">
      <c r="C65" s="4" t="s">
        <v>55</v>
      </c>
      <c r="D65" s="23"/>
      <c r="E65" s="23"/>
      <c r="F65" s="23"/>
      <c r="G65" s="23"/>
      <c r="H65" s="23"/>
      <c r="I65" s="23"/>
      <c r="J65" s="18"/>
      <c r="P65" s="24">
        <f t="shared" si="3"/>
        <v>0</v>
      </c>
    </row>
    <row r="66" spans="3:16" x14ac:dyDescent="0.25">
      <c r="C66" s="4" t="s">
        <v>56</v>
      </c>
      <c r="D66" s="23"/>
      <c r="E66" s="23"/>
      <c r="F66" s="23"/>
      <c r="G66" s="23"/>
      <c r="H66" s="23"/>
      <c r="I66" s="23"/>
      <c r="J66" s="18"/>
      <c r="P66" s="24">
        <f t="shared" si="3"/>
        <v>0</v>
      </c>
    </row>
    <row r="67" spans="3:16" x14ac:dyDescent="0.25">
      <c r="C67" s="4" t="s">
        <v>57</v>
      </c>
      <c r="D67" s="23"/>
      <c r="E67" s="23"/>
      <c r="F67" s="23"/>
      <c r="G67" s="23"/>
      <c r="H67" s="23"/>
      <c r="I67" s="23"/>
      <c r="J67" s="18"/>
      <c r="P67" s="24">
        <f t="shared" si="3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8"/>
      <c r="P68" s="24">
        <f t="shared" si="3"/>
        <v>0</v>
      </c>
    </row>
    <row r="69" spans="3:16" x14ac:dyDescent="0.25">
      <c r="C69" s="4" t="s">
        <v>59</v>
      </c>
      <c r="D69" s="23"/>
      <c r="E69" s="23"/>
      <c r="F69" s="23"/>
      <c r="G69" s="23"/>
      <c r="H69" s="23"/>
      <c r="I69" s="23"/>
      <c r="J69" s="18"/>
      <c r="P69" s="24">
        <f t="shared" si="3"/>
        <v>0</v>
      </c>
    </row>
    <row r="70" spans="3:16" x14ac:dyDescent="0.25">
      <c r="C70" s="4" t="s">
        <v>60</v>
      </c>
      <c r="D70" s="23"/>
      <c r="E70" s="23"/>
      <c r="F70" s="23"/>
      <c r="G70" s="23"/>
      <c r="H70" s="23"/>
      <c r="I70" s="23"/>
      <c r="J70" s="18"/>
      <c r="P70" s="24">
        <f t="shared" si="3"/>
        <v>0</v>
      </c>
    </row>
    <row r="71" spans="3:16" x14ac:dyDescent="0.25">
      <c r="C71" s="3" t="s">
        <v>61</v>
      </c>
      <c r="D71" s="17"/>
      <c r="E71" s="17"/>
      <c r="F71" s="17"/>
      <c r="G71" s="17"/>
      <c r="H71" s="17"/>
      <c r="I71" s="17"/>
      <c r="J71" s="18"/>
      <c r="P71" s="24">
        <f t="shared" si="3"/>
        <v>0</v>
      </c>
    </row>
    <row r="72" spans="3:16" x14ac:dyDescent="0.25">
      <c r="C72" s="4" t="s">
        <v>62</v>
      </c>
      <c r="D72" s="23"/>
      <c r="E72" s="23"/>
      <c r="F72" s="23"/>
      <c r="G72" s="23"/>
      <c r="H72" s="23"/>
      <c r="I72" s="23"/>
      <c r="J72" s="18"/>
      <c r="P72" s="24">
        <f t="shared" si="3"/>
        <v>0</v>
      </c>
    </row>
    <row r="73" spans="3:16" x14ac:dyDescent="0.25">
      <c r="C73" s="4" t="s">
        <v>63</v>
      </c>
      <c r="D73" s="23">
        <v>0</v>
      </c>
      <c r="P73" s="24">
        <f t="shared" si="3"/>
        <v>0</v>
      </c>
    </row>
    <row r="74" spans="3:16" x14ac:dyDescent="0.25">
      <c r="C74" s="4" t="s">
        <v>64</v>
      </c>
      <c r="D74" s="23">
        <v>0</v>
      </c>
      <c r="P74" s="24">
        <f t="shared" si="3"/>
        <v>0</v>
      </c>
    </row>
    <row r="75" spans="3:16" x14ac:dyDescent="0.25">
      <c r="C75" s="1" t="s">
        <v>67</v>
      </c>
      <c r="D75" s="19">
        <f>+D76+D79+D82</f>
        <v>0</v>
      </c>
      <c r="E75" s="19">
        <f t="shared" ref="E75:O75" si="13">+E76+E79+E82</f>
        <v>0</v>
      </c>
      <c r="F75" s="19">
        <f t="shared" si="13"/>
        <v>0</v>
      </c>
      <c r="G75" s="19">
        <f t="shared" si="13"/>
        <v>0</v>
      </c>
      <c r="H75" s="19">
        <f t="shared" si="13"/>
        <v>0</v>
      </c>
      <c r="I75" s="19">
        <f t="shared" si="13"/>
        <v>0</v>
      </c>
      <c r="J75" s="19">
        <f t="shared" si="13"/>
        <v>0</v>
      </c>
      <c r="K75" s="19">
        <f t="shared" si="13"/>
        <v>0</v>
      </c>
      <c r="L75" s="19">
        <f t="shared" si="13"/>
        <v>0</v>
      </c>
      <c r="M75" s="19">
        <f t="shared" si="13"/>
        <v>0</v>
      </c>
      <c r="N75" s="19">
        <f t="shared" si="13"/>
        <v>0</v>
      </c>
      <c r="O75" s="19">
        <f t="shared" si="13"/>
        <v>0</v>
      </c>
      <c r="P75" s="24">
        <f t="shared" si="3"/>
        <v>0</v>
      </c>
    </row>
    <row r="76" spans="3:16" x14ac:dyDescent="0.25">
      <c r="C76" s="3" t="s">
        <v>68</v>
      </c>
      <c r="D76" s="17">
        <f>+SUM(D77:D78)</f>
        <v>0</v>
      </c>
      <c r="E76" s="17">
        <f t="shared" ref="E76:O76" si="14">+SUM(E77:E78)</f>
        <v>0</v>
      </c>
      <c r="F76" s="17">
        <f t="shared" si="14"/>
        <v>0</v>
      </c>
      <c r="G76" s="17">
        <f t="shared" si="14"/>
        <v>0</v>
      </c>
      <c r="H76" s="17">
        <f t="shared" si="14"/>
        <v>0</v>
      </c>
      <c r="I76" s="17">
        <f t="shared" si="14"/>
        <v>0</v>
      </c>
      <c r="J76" s="17">
        <f t="shared" si="14"/>
        <v>0</v>
      </c>
      <c r="K76" s="17">
        <f t="shared" si="14"/>
        <v>0</v>
      </c>
      <c r="L76" s="17">
        <f t="shared" si="14"/>
        <v>0</v>
      </c>
      <c r="M76" s="17">
        <f t="shared" si="14"/>
        <v>0</v>
      </c>
      <c r="N76" s="17">
        <f t="shared" si="14"/>
        <v>0</v>
      </c>
      <c r="O76" s="17">
        <f t="shared" si="14"/>
        <v>0</v>
      </c>
      <c r="P76" s="24">
        <f t="shared" ref="P76:P84" si="15">+SUM(D76:O76)</f>
        <v>0</v>
      </c>
    </row>
    <row r="77" spans="3:16" x14ac:dyDescent="0.25">
      <c r="C77" s="4" t="s">
        <v>69</v>
      </c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24">
        <f t="shared" si="15"/>
        <v>0</v>
      </c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24">
        <f t="shared" si="15"/>
        <v>0</v>
      </c>
    </row>
    <row r="79" spans="3:16" x14ac:dyDescent="0.25">
      <c r="C79" s="3" t="s">
        <v>71</v>
      </c>
      <c r="D79" s="17">
        <f>+SUM(D80:D81)</f>
        <v>0</v>
      </c>
      <c r="E79" s="17">
        <f t="shared" ref="E79:O79" si="16">+SUM(E80:E81)</f>
        <v>0</v>
      </c>
      <c r="F79" s="17">
        <f t="shared" si="16"/>
        <v>0</v>
      </c>
      <c r="G79" s="17">
        <f t="shared" si="16"/>
        <v>0</v>
      </c>
      <c r="H79" s="17">
        <f t="shared" si="16"/>
        <v>0</v>
      </c>
      <c r="I79" s="17">
        <f t="shared" si="16"/>
        <v>0</v>
      </c>
      <c r="J79" s="17">
        <f t="shared" si="16"/>
        <v>0</v>
      </c>
      <c r="K79" s="17">
        <f t="shared" si="16"/>
        <v>0</v>
      </c>
      <c r="L79" s="17">
        <f t="shared" si="16"/>
        <v>0</v>
      </c>
      <c r="M79" s="17">
        <f t="shared" si="16"/>
        <v>0</v>
      </c>
      <c r="N79" s="17">
        <f t="shared" si="16"/>
        <v>0</v>
      </c>
      <c r="O79" s="17">
        <f t="shared" si="16"/>
        <v>0</v>
      </c>
      <c r="P79" s="24">
        <f t="shared" si="15"/>
        <v>0</v>
      </c>
    </row>
    <row r="80" spans="3:16" x14ac:dyDescent="0.25">
      <c r="C80" s="4" t="s">
        <v>72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24">
        <f t="shared" si="15"/>
        <v>0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24">
        <f t="shared" si="15"/>
        <v>0</v>
      </c>
    </row>
    <row r="82" spans="3:16" x14ac:dyDescent="0.25">
      <c r="C82" s="3" t="s">
        <v>74</v>
      </c>
      <c r="D82" s="17">
        <f>+SUM(D83)</f>
        <v>0</v>
      </c>
      <c r="E82" s="17">
        <f t="shared" ref="E82:O82" si="17">+SUM(E83)</f>
        <v>0</v>
      </c>
      <c r="F82" s="17">
        <f t="shared" si="17"/>
        <v>0</v>
      </c>
      <c r="G82" s="17">
        <f t="shared" si="17"/>
        <v>0</v>
      </c>
      <c r="H82" s="17">
        <f t="shared" si="17"/>
        <v>0</v>
      </c>
      <c r="I82" s="17">
        <f t="shared" si="17"/>
        <v>0</v>
      </c>
      <c r="J82" s="17">
        <f t="shared" si="17"/>
        <v>0</v>
      </c>
      <c r="K82" s="17">
        <f t="shared" si="17"/>
        <v>0</v>
      </c>
      <c r="L82" s="17">
        <f t="shared" si="17"/>
        <v>0</v>
      </c>
      <c r="M82" s="17">
        <f t="shared" si="17"/>
        <v>0</v>
      </c>
      <c r="N82" s="17">
        <f t="shared" si="17"/>
        <v>0</v>
      </c>
      <c r="O82" s="17">
        <f t="shared" si="17"/>
        <v>0</v>
      </c>
      <c r="P82" s="24">
        <f t="shared" si="15"/>
        <v>0</v>
      </c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>
        <f t="shared" si="15"/>
        <v>0</v>
      </c>
    </row>
    <row r="84" spans="3:16" x14ac:dyDescent="0.25">
      <c r="C84" s="6" t="s">
        <v>65</v>
      </c>
      <c r="D84" s="28">
        <f>+D75+D10</f>
        <v>9473315.7599999998</v>
      </c>
      <c r="E84" s="28">
        <f t="shared" ref="E84:O84" si="18">+E75+E10</f>
        <v>11373105.120000001</v>
      </c>
      <c r="F84" s="28">
        <f t="shared" si="18"/>
        <v>12241394.35</v>
      </c>
      <c r="G84" s="28">
        <f t="shared" si="18"/>
        <v>20303597.399999999</v>
      </c>
      <c r="H84" s="28">
        <f t="shared" si="18"/>
        <v>10740547.689999999</v>
      </c>
      <c r="I84" s="28">
        <f t="shared" si="18"/>
        <v>11458445.970000001</v>
      </c>
      <c r="J84" s="28">
        <f t="shared" si="18"/>
        <v>10657562.82</v>
      </c>
      <c r="K84" s="28">
        <f t="shared" si="18"/>
        <v>0</v>
      </c>
      <c r="L84" s="28">
        <f t="shared" si="18"/>
        <v>0</v>
      </c>
      <c r="M84" s="28">
        <f t="shared" si="18"/>
        <v>0</v>
      </c>
      <c r="N84" s="28">
        <f t="shared" si="18"/>
        <v>0</v>
      </c>
      <c r="O84" s="28">
        <f t="shared" si="18"/>
        <v>0</v>
      </c>
      <c r="P84" s="28">
        <f t="shared" si="15"/>
        <v>86247969.110000014</v>
      </c>
    </row>
  </sheetData>
  <mergeCells count="5">
    <mergeCell ref="C4:P4"/>
    <mergeCell ref="C5:P5"/>
    <mergeCell ref="C6:P6"/>
    <mergeCell ref="C7:P7"/>
    <mergeCell ref="C3:P3"/>
  </mergeCells>
  <pageMargins left="0" right="0" top="0" bottom="0" header="0.31496062992125984" footer="0.31496062992125984"/>
  <pageSetup paperSize="5" scale="45" orientation="landscape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Manuel Ramón Oleaga Muñoz</cp:lastModifiedBy>
  <cp:lastPrinted>2026-05-05T13:19:42Z</cp:lastPrinted>
  <dcterms:created xsi:type="dcterms:W3CDTF">2021-07-29T18:58:50Z</dcterms:created>
  <dcterms:modified xsi:type="dcterms:W3CDTF">2026-05-06T13:48:43Z</dcterms:modified>
</cp:coreProperties>
</file>